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20" windowWidth="17385" windowHeight="7095" activeTab="0"/>
  </bookViews>
  <sheets>
    <sheet name="2009 SPHV Of.prieb. výsledky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 </author>
  </authors>
  <commentList>
    <comment ref="AD5" authorId="0">
      <text>
        <r>
          <rPr>
            <b/>
            <sz val="8"/>
            <rFont val="Tahoma"/>
            <family val="2"/>
          </rPr>
          <t>User :</t>
        </r>
        <r>
          <rPr>
            <sz val="8"/>
            <rFont val="Tahoma"/>
            <family val="2"/>
          </rPr>
          <t xml:space="preserve">
</t>
        </r>
      </text>
    </comment>
    <comment ref="AD36" authorId="0">
      <text>
        <r>
          <rPr>
            <b/>
            <sz val="8"/>
            <rFont val="Tahoma"/>
            <family val="2"/>
          </rPr>
          <t>User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<sst xmlns="http://schemas.openxmlformats.org/spreadsheetml/2006/main" count="266" uniqueCount="129">
  <si>
    <t>L. Rovne - Veteran Rallye</t>
  </si>
  <si>
    <t>Košice - Bankovský kopec</t>
  </si>
  <si>
    <t xml:space="preserve">Celkom započítané body SPHV </t>
  </si>
  <si>
    <t>Kategória</t>
  </si>
  <si>
    <t>Štart. číslo</t>
  </si>
  <si>
    <t>Meno jazdca</t>
  </si>
  <si>
    <t>Spolujazdec</t>
  </si>
  <si>
    <t>Klub</t>
  </si>
  <si>
    <t>Hist. Vozidlo</t>
  </si>
  <si>
    <t>Rok výr.</t>
  </si>
  <si>
    <t>Tr. body</t>
  </si>
  <si>
    <t>Priemer Tr.b/úloha</t>
  </si>
  <si>
    <t>Body SPHV</t>
  </si>
  <si>
    <t>Priemer  TB na úlohu</t>
  </si>
  <si>
    <t>Doppler František</t>
  </si>
  <si>
    <t>Ladická Michaela</t>
  </si>
  <si>
    <t>Automotoklub VCC Piešťany</t>
  </si>
  <si>
    <t>Mini Cooper Innocenti 1300 Export</t>
  </si>
  <si>
    <t>Bazala Marián, Ing.</t>
  </si>
  <si>
    <t>Bazalová Beáta</t>
  </si>
  <si>
    <t>Triumph TR 3 A</t>
  </si>
  <si>
    <t>Frišták František</t>
  </si>
  <si>
    <t>Frištáková Eva</t>
  </si>
  <si>
    <t>Škoda 1101 Tudor</t>
  </si>
  <si>
    <t>Petranová Dana, PhDr.</t>
  </si>
  <si>
    <t>Veterán Club Liptov, L.Mikuláš</t>
  </si>
  <si>
    <t>Tatra 603 - 2</t>
  </si>
  <si>
    <t>Čirka Pavol, Ing.</t>
  </si>
  <si>
    <t>Ducár Alexander</t>
  </si>
  <si>
    <t>Veterán Šariš Club Prešov</t>
  </si>
  <si>
    <t>Hilman Minx</t>
  </si>
  <si>
    <t>Šudík Dušan</t>
  </si>
  <si>
    <t>Dobrodenka Pavel</t>
  </si>
  <si>
    <t>SDF Dulov</t>
  </si>
  <si>
    <t>Volga M 21</t>
  </si>
  <si>
    <t>Petran Jaroslav, junior</t>
  </si>
  <si>
    <t>Kováč Ján</t>
  </si>
  <si>
    <t>Škoda 450 Roadster</t>
  </si>
  <si>
    <t>Matulova Jindra</t>
  </si>
  <si>
    <t>Matula Jaroslav, Ing.</t>
  </si>
  <si>
    <t>Automotoklub VCC Piešťany / CZ /</t>
  </si>
  <si>
    <t>Fiat 500 L</t>
  </si>
  <si>
    <t>Americký autoklub Slovensko</t>
  </si>
  <si>
    <t>M</t>
  </si>
  <si>
    <t>Žilka Jaroslav</t>
  </si>
  <si>
    <t>ČZ 175 / 501</t>
  </si>
  <si>
    <t>Láni Ivan, Ing.</t>
  </si>
  <si>
    <t>Jawa 350/354</t>
  </si>
  <si>
    <t>ČZ 150</t>
  </si>
  <si>
    <t>3.Veteran Rallye Nové Mesto nad Váhom</t>
  </si>
  <si>
    <t>Oldtimer Rallye Tatry - Internacional race</t>
  </si>
  <si>
    <t>29.- 30. august 2008</t>
  </si>
  <si>
    <t>VCC Tatra 141</t>
  </si>
  <si>
    <t>Cassovia Retro              Košice</t>
  </si>
  <si>
    <t>Šarišský okruh veteránov</t>
  </si>
  <si>
    <t>12.-14.júna 2009</t>
  </si>
  <si>
    <t xml:space="preserve">Veteran Šariš Club                Prešov </t>
  </si>
  <si>
    <t xml:space="preserve">I. kolo SPHV </t>
  </si>
  <si>
    <t xml:space="preserve">II. kolo SPHV </t>
  </si>
  <si>
    <t xml:space="preserve">III. kolo SPHV </t>
  </si>
  <si>
    <t xml:space="preserve">IV. kolo SPHV </t>
  </si>
  <si>
    <t xml:space="preserve">V. kolo SPHV </t>
  </si>
  <si>
    <t xml:space="preserve">VI. kolo SPHV </t>
  </si>
  <si>
    <t xml:space="preserve">VII. kolo SPHV </t>
  </si>
  <si>
    <t>Koeficient 2</t>
  </si>
  <si>
    <t>1. Májová Veteran Tatra Rallye</t>
  </si>
  <si>
    <t>Koeficient 3</t>
  </si>
  <si>
    <t xml:space="preserve">Kategória :  Autá </t>
  </si>
  <si>
    <t>A</t>
  </si>
  <si>
    <t>Cadillac Coupe Devil</t>
  </si>
  <si>
    <t>Laky Tibor</t>
  </si>
  <si>
    <t>Wachal Viliam</t>
  </si>
  <si>
    <t>Francel Jozef</t>
  </si>
  <si>
    <t>Čirková Viera, Mgr,</t>
  </si>
  <si>
    <t xml:space="preserve">Bohdan Mączyński </t>
  </si>
  <si>
    <t>Žolnierkiewicz Božena</t>
  </si>
  <si>
    <t>Baláž Peter, PhDr.</t>
  </si>
  <si>
    <t xml:space="preserve">Ford Mustang GT Cupe </t>
  </si>
  <si>
    <t>Figur  Miloš</t>
  </si>
  <si>
    <t xml:space="preserve">Figurová Lenka </t>
  </si>
  <si>
    <t>Volkswagen - Chrobak</t>
  </si>
  <si>
    <t>Drápal Peter</t>
  </si>
  <si>
    <t>Drápalová Janka, Ing.,Bc.</t>
  </si>
  <si>
    <t>Škoda Octavia Super</t>
  </si>
  <si>
    <t>Balážová Eva, Mgr.</t>
  </si>
  <si>
    <t>Baláž Roman</t>
  </si>
  <si>
    <t>Jaguar MK 2 - 3,8</t>
  </si>
  <si>
    <t>Očenáš Peter, Ing</t>
  </si>
  <si>
    <t>Očenášová Jana, Bc.</t>
  </si>
  <si>
    <t>Volga GAZ 21 S</t>
  </si>
  <si>
    <t>Poliačiková Magda, JUDr.</t>
  </si>
  <si>
    <t>KHV Žilina</t>
  </si>
  <si>
    <t xml:space="preserve">Pavel Skála, Ing. </t>
  </si>
  <si>
    <t>Peter Odzgan, Ing</t>
  </si>
  <si>
    <t>Koštial Vladimír, Ing.</t>
  </si>
  <si>
    <t>Koštiaľová Anna</t>
  </si>
  <si>
    <t>Veteran Club Bratislava</t>
  </si>
  <si>
    <t>Tatra 57b</t>
  </si>
  <si>
    <t>Kategória :  Motocykle</t>
  </si>
  <si>
    <t>Vetrán Car Club    Nitra</t>
  </si>
  <si>
    <t>Jawa 250 / 11 perák</t>
  </si>
  <si>
    <t>KPHV Komárno</t>
  </si>
  <si>
    <t>ČZ 175 / 502 + Druzeta</t>
  </si>
  <si>
    <t xml:space="preserve">Lukáč Juraj </t>
  </si>
  <si>
    <t>Tatran 125</t>
  </si>
  <si>
    <t>Antošíkova Margita</t>
  </si>
  <si>
    <t>Puch 150 TL</t>
  </si>
  <si>
    <t>Paulovič Jozef</t>
  </si>
  <si>
    <t xml:space="preserve">ČZ 150 C </t>
  </si>
  <si>
    <t>Petran Jaroslav</t>
  </si>
  <si>
    <t>DSQ</t>
  </si>
  <si>
    <t>Koeficient 4</t>
  </si>
  <si>
    <t>Old Timer Rallye             Slovak race</t>
  </si>
  <si>
    <t>Veteran Club Liptov, L.Mikuláš</t>
  </si>
  <si>
    <t>Koeficient 1</t>
  </si>
  <si>
    <t>Europejska Asocjacja Automobilerów</t>
  </si>
  <si>
    <t>Suzuki SJ 413</t>
  </si>
  <si>
    <t>Vaško Štefan</t>
  </si>
  <si>
    <t>Vašková Božena</t>
  </si>
  <si>
    <t>SK</t>
  </si>
  <si>
    <t>Triumph Spitfire</t>
  </si>
  <si>
    <t>Dubovský Stanislav</t>
  </si>
  <si>
    <t>Podhorányová Kristína</t>
  </si>
  <si>
    <t>Oldtimer Rallye Tatry             Slovak race</t>
  </si>
  <si>
    <t>Olejár Milan, MUDr.</t>
  </si>
  <si>
    <t>Dodge</t>
  </si>
  <si>
    <t>Škoda 422</t>
  </si>
  <si>
    <t>Poradie</t>
  </si>
  <si>
    <t>Slovenský pohár historických vozidiel v jazde pravidelnosti - Oficiálne výsledky 2009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</si>
</sst>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d/mm/yy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0.00_ ;[Red]\-0.00\ "/>
    <numFmt numFmtId="177" formatCode="d/m"/>
    <numFmt numFmtId="178" formatCode="mmm/yyyy"/>
    <numFmt numFmtId="179" formatCode="[$-41B]d\.\ mmmm\ yyyy"/>
    <numFmt numFmtId="180" formatCode="d/m;@"/>
    <numFmt numFmtId="181" formatCode="0.00;[Red]0.00"/>
    <numFmt numFmtId="182" formatCode="#,##0.00\ _S_k"/>
    <numFmt numFmtId="183" formatCode="dd/mm/yy;@"/>
    <numFmt numFmtId="184" formatCode="mm:ss.0;@"/>
    <numFmt numFmtId="185" formatCode="0.000"/>
    <numFmt numFmtId="186" formatCode="h:mm:ss;@"/>
    <numFmt numFmtId="187" formatCode="h:mm;@"/>
    <numFmt numFmtId="188" formatCode="0_ ;[Red]\-0\ "/>
    <numFmt numFmtId="189" formatCode="[$-F400]h:mm:ss\ AM/PM"/>
    <numFmt numFmtId="190" formatCode="[$-F800]dddd\,\ mmmm\ dd\,\ yyyy"/>
    <numFmt numFmtId="191" formatCode="0.0000"/>
    <numFmt numFmtId="192" formatCode="0.0000000"/>
    <numFmt numFmtId="193" formatCode="[$-409]h:mm:ss\ AM/PM;@"/>
    <numFmt numFmtId="194" formatCode="hh:mm:ss.000"/>
    <numFmt numFmtId="195" formatCode="ss.00"/>
    <numFmt numFmtId="196" formatCode="mm:ss.0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22"/>
      <name val="Copperplate Gothic Light"/>
      <family val="2"/>
    </font>
    <font>
      <sz val="20"/>
      <name val="Arial CE"/>
      <family val="0"/>
    </font>
    <font>
      <sz val="20"/>
      <name val="Copperplate Gothic Light"/>
      <family val="2"/>
    </font>
    <font>
      <b/>
      <sz val="26"/>
      <name val="Harringto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1" borderId="5" applyNumberFormat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11" fillId="24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" fontId="10" fillId="0" borderId="11" xfId="56" applyNumberFormat="1" applyFont="1" applyFill="1" applyBorder="1" applyAlignment="1">
      <alignment horizontal="center" vertical="center"/>
      <protection/>
    </xf>
    <xf numFmtId="0" fontId="13" fillId="2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0" fillId="0" borderId="11" xfId="56" applyNumberFormat="1" applyFont="1" applyFill="1" applyBorder="1" applyAlignment="1">
      <alignment horizontal="center" vertical="center"/>
      <protection/>
    </xf>
    <xf numFmtId="0" fontId="8" fillId="2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2" fontId="12" fillId="22" borderId="10" xfId="0" applyNumberFormat="1" applyFont="1" applyFill="1" applyBorder="1" applyAlignment="1">
      <alignment horizontal="center" vertical="center"/>
    </xf>
    <xf numFmtId="2" fontId="12" fillId="22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59" applyFont="1" applyFill="1" applyBorder="1" applyAlignment="1">
      <alignment horizontal="center" vertical="center" wrapText="1"/>
      <protection/>
    </xf>
    <xf numFmtId="0" fontId="0" fillId="0" borderId="11" xfId="59" applyFont="1" applyFill="1" applyBorder="1" applyAlignment="1">
      <alignment horizontal="center" vertical="center"/>
      <protection/>
    </xf>
    <xf numFmtId="0" fontId="0" fillId="0" borderId="11" xfId="59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56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10" xfId="56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10" fillId="0" borderId="10" xfId="56" applyNumberFormat="1" applyFont="1" applyFill="1" applyBorder="1" applyAlignment="1">
      <alignment horizontal="center" vertical="center"/>
      <protection/>
    </xf>
    <xf numFmtId="0" fontId="39" fillId="0" borderId="11" xfId="0" applyFont="1" applyFill="1" applyBorder="1" applyAlignment="1">
      <alignment horizontal="center" vertical="center"/>
    </xf>
    <xf numFmtId="1" fontId="3" fillId="0" borderId="11" xfId="56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" fontId="3" fillId="22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1" fontId="3" fillId="22" borderId="18" xfId="0" applyNumberFormat="1" applyFont="1" applyFill="1" applyBorder="1" applyAlignment="1">
      <alignment horizontal="center" vertical="center" wrapText="1"/>
    </xf>
    <xf numFmtId="1" fontId="3" fillId="22" borderId="19" xfId="0" applyNumberFormat="1" applyFont="1" applyFill="1" applyBorder="1" applyAlignment="1">
      <alignment horizontal="center" vertical="center" wrapText="1"/>
    </xf>
    <xf numFmtId="0" fontId="3" fillId="26" borderId="20" xfId="0" applyFont="1" applyFill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 wrapText="1"/>
    </xf>
    <xf numFmtId="190" fontId="3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190" fontId="3" fillId="4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190" fontId="3" fillId="4" borderId="33" xfId="0" applyNumberFormat="1" applyFont="1" applyFill="1" applyBorder="1" applyAlignment="1">
      <alignment horizontal="center" vertical="center"/>
    </xf>
    <xf numFmtId="190" fontId="3" fillId="4" borderId="34" xfId="0" applyNumberFormat="1" applyFont="1" applyFill="1" applyBorder="1" applyAlignment="1">
      <alignment horizontal="center" vertical="center"/>
    </xf>
    <xf numFmtId="1" fontId="3" fillId="4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vertical="center"/>
    </xf>
    <xf numFmtId="1" fontId="3" fillId="4" borderId="36" xfId="0" applyNumberFormat="1" applyFont="1" applyFill="1" applyBorder="1" applyAlignment="1">
      <alignment horizontal="center" vertical="center" wrapText="1"/>
    </xf>
    <xf numFmtId="1" fontId="3" fillId="4" borderId="37" xfId="0" applyNumberFormat="1" applyFont="1" applyFill="1" applyBorder="1" applyAlignment="1">
      <alignment horizontal="center" vertical="center" wrapText="1"/>
    </xf>
    <xf numFmtId="14" fontId="3" fillId="4" borderId="32" xfId="0" applyNumberFormat="1" applyFont="1" applyFill="1" applyBorder="1" applyAlignment="1">
      <alignment horizontal="center" vertical="center"/>
    </xf>
    <xf numFmtId="14" fontId="3" fillId="4" borderId="33" xfId="0" applyNumberFormat="1" applyFont="1" applyFill="1" applyBorder="1" applyAlignment="1">
      <alignment horizontal="center" vertical="center"/>
    </xf>
    <xf numFmtId="14" fontId="3" fillId="4" borderId="34" xfId="0" applyNumberFormat="1" applyFont="1" applyFill="1" applyBorder="1" applyAlignment="1">
      <alignment horizontal="center" vertical="center"/>
    </xf>
    <xf numFmtId="0" fontId="21" fillId="7" borderId="38" xfId="0" applyFont="1" applyFill="1" applyBorder="1" applyAlignment="1">
      <alignment horizontal="center" vertical="center"/>
    </xf>
    <xf numFmtId="0" fontId="21" fillId="7" borderId="39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5" fillId="5" borderId="41" xfId="0" applyFont="1" applyFill="1" applyBorder="1" applyAlignment="1">
      <alignment horizontal="center" vertical="center" wrapText="1"/>
    </xf>
    <xf numFmtId="0" fontId="0" fillId="5" borderId="42" xfId="0" applyFont="1" applyFill="1" applyBorder="1" applyAlignment="1">
      <alignment vertical="center"/>
    </xf>
    <xf numFmtId="0" fontId="5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190" fontId="3" fillId="4" borderId="23" xfId="0" applyNumberFormat="1" applyFont="1" applyFill="1" applyBorder="1" applyAlignment="1">
      <alignment horizontal="center" vertical="center" wrapText="1"/>
    </xf>
    <xf numFmtId="190" fontId="3" fillId="4" borderId="24" xfId="0" applyNumberFormat="1" applyFont="1" applyFill="1" applyBorder="1" applyAlignment="1">
      <alignment horizontal="center" vertical="center" wrapText="1"/>
    </xf>
    <xf numFmtId="190" fontId="3" fillId="4" borderId="25" xfId="0" applyNumberFormat="1" applyFont="1" applyFill="1" applyBorder="1" applyAlignment="1">
      <alignment horizontal="center" vertical="center" wrapText="1"/>
    </xf>
    <xf numFmtId="190" fontId="3" fillId="4" borderId="26" xfId="0" applyNumberFormat="1" applyFont="1" applyFill="1" applyBorder="1" applyAlignment="1">
      <alignment horizontal="center" vertical="center" wrapText="1"/>
    </xf>
    <xf numFmtId="190" fontId="3" fillId="4" borderId="27" xfId="0" applyNumberFormat="1" applyFont="1" applyFill="1" applyBorder="1" applyAlignment="1">
      <alignment horizontal="center" vertical="center" wrapText="1"/>
    </xf>
    <xf numFmtId="1" fontId="3" fillId="4" borderId="38" xfId="0" applyNumberFormat="1" applyFont="1" applyFill="1" applyBorder="1" applyAlignment="1">
      <alignment horizontal="center" vertical="center" wrapText="1"/>
    </xf>
    <xf numFmtId="1" fontId="3" fillId="4" borderId="39" xfId="0" applyNumberFormat="1" applyFont="1" applyFill="1" applyBorder="1" applyAlignment="1">
      <alignment horizontal="center" vertical="center" wrapText="1"/>
    </xf>
    <xf numFmtId="1" fontId="3" fillId="4" borderId="40" xfId="0" applyNumberFormat="1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1" fontId="3" fillId="22" borderId="41" xfId="0" applyNumberFormat="1" applyFont="1" applyFill="1" applyBorder="1" applyAlignment="1">
      <alignment horizontal="center" vertical="center" wrapText="1"/>
    </xf>
    <xf numFmtId="1" fontId="3" fillId="22" borderId="42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 wrapText="1"/>
    </xf>
    <xf numFmtId="0" fontId="0" fillId="5" borderId="47" xfId="0" applyFont="1" applyFill="1" applyBorder="1" applyAlignment="1">
      <alignment horizontal="center" vertical="center" wrapText="1"/>
    </xf>
    <xf numFmtId="190" fontId="3" fillId="4" borderId="29" xfId="0" applyNumberFormat="1" applyFont="1" applyFill="1" applyBorder="1" applyAlignment="1">
      <alignment horizontal="center" vertical="center" wrapText="1"/>
    </xf>
    <xf numFmtId="190" fontId="3" fillId="4" borderId="30" xfId="0" applyNumberFormat="1" applyFont="1" applyFill="1" applyBorder="1" applyAlignment="1">
      <alignment horizontal="center" vertical="center" wrapText="1"/>
    </xf>
    <xf numFmtId="190" fontId="3" fillId="4" borderId="31" xfId="0" applyNumberFormat="1" applyFont="1" applyFill="1" applyBorder="1" applyAlignment="1">
      <alignment horizontal="center" vertical="center" wrapText="1"/>
    </xf>
    <xf numFmtId="1" fontId="3" fillId="22" borderId="46" xfId="0" applyNumberFormat="1" applyFont="1" applyFill="1" applyBorder="1" applyAlignment="1">
      <alignment horizontal="center" vertical="center" wrapText="1"/>
    </xf>
    <xf numFmtId="1" fontId="0" fillId="0" borderId="47" xfId="0" applyNumberFormat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al 3" xfId="56"/>
    <cellStyle name="Normal_ZadanaPriemRychlost_RucneMeranie" xfId="57"/>
    <cellStyle name="normální_šTARTOVKA" xfId="58"/>
    <cellStyle name="normální_šTARTOVKA_2009 SPHV Oficiálne výsledky" xfId="59"/>
    <cellStyle name="Note" xfId="60"/>
    <cellStyle name="Output" xfId="61"/>
    <cellStyle name="Percent" xfId="62"/>
    <cellStyle name="Followed Hyperlink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="70" zoomScaleNormal="70" workbookViewId="0" topLeftCell="A1">
      <selection activeCell="Q31" sqref="Q31"/>
    </sheetView>
  </sheetViews>
  <sheetFormatPr defaultColWidth="9.00390625" defaultRowHeight="12.75"/>
  <cols>
    <col min="1" max="1" width="9.625" style="2" customWidth="1"/>
    <col min="2" max="2" width="5.875" style="38" customWidth="1"/>
    <col min="3" max="3" width="6.625" style="39" customWidth="1"/>
    <col min="4" max="4" width="23.125" style="35" customWidth="1"/>
    <col min="5" max="5" width="24.125" style="35" hidden="1" customWidth="1"/>
    <col min="6" max="6" width="22.625" style="35" hidden="1" customWidth="1"/>
    <col min="7" max="7" width="20.75390625" style="35" hidden="1" customWidth="1"/>
    <col min="8" max="8" width="7.00390625" style="35" hidden="1" customWidth="1"/>
    <col min="9" max="9" width="7.375" style="35" customWidth="1"/>
    <col min="10" max="10" width="11.25390625" style="36" customWidth="1"/>
    <col min="11" max="11" width="6.875" style="37" customWidth="1"/>
    <col min="12" max="12" width="7.625" style="36" customWidth="1"/>
    <col min="13" max="13" width="10.625" style="36" customWidth="1"/>
    <col min="14" max="14" width="7.25390625" style="36" customWidth="1"/>
    <col min="15" max="15" width="7.125" style="2" customWidth="1"/>
    <col min="16" max="16" width="10.625" style="2" customWidth="1"/>
    <col min="17" max="17" width="7.375" style="2" customWidth="1"/>
    <col min="18" max="18" width="6.625" style="2" customWidth="1"/>
    <col min="19" max="19" width="11.375" style="2" customWidth="1"/>
    <col min="20" max="20" width="8.00390625" style="2" customWidth="1"/>
    <col min="21" max="21" width="8.625" style="2" customWidth="1"/>
    <col min="22" max="22" width="10.375" style="2" customWidth="1"/>
    <col min="23" max="23" width="7.875" style="2" customWidth="1"/>
    <col min="24" max="24" width="7.625" style="38" customWidth="1"/>
    <col min="25" max="25" width="11.625" style="38" customWidth="1"/>
    <col min="26" max="26" width="6.875" style="2" customWidth="1"/>
    <col min="27" max="27" width="6.125" style="2" customWidth="1"/>
    <col min="28" max="28" width="10.625" style="2" customWidth="1"/>
    <col min="29" max="29" width="6.75390625" style="2" customWidth="1"/>
    <col min="30" max="30" width="12.00390625" style="2" customWidth="1"/>
    <col min="31" max="31" width="12.625" style="2" customWidth="1"/>
    <col min="32" max="16384" width="9.125" style="2" customWidth="1"/>
  </cols>
  <sheetData>
    <row r="1" spans="1:31" ht="41.25" customHeight="1" thickBot="1">
      <c r="A1" s="153" t="s">
        <v>128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5"/>
      <c r="AB1" s="155"/>
      <c r="AC1" s="155"/>
      <c r="AD1" s="155"/>
      <c r="AE1" s="156"/>
    </row>
    <row r="2" spans="1:31" ht="27.75" customHeight="1" thickBot="1">
      <c r="A2" s="192"/>
      <c r="B2" s="193"/>
      <c r="C2" s="193"/>
      <c r="D2" s="193"/>
      <c r="E2" s="193"/>
      <c r="F2" s="193"/>
      <c r="G2" s="193"/>
      <c r="H2" s="194"/>
      <c r="I2" s="144" t="s">
        <v>57</v>
      </c>
      <c r="J2" s="145"/>
      <c r="K2" s="145"/>
      <c r="L2" s="144" t="s">
        <v>58</v>
      </c>
      <c r="M2" s="145"/>
      <c r="N2" s="145"/>
      <c r="O2" s="144" t="s">
        <v>59</v>
      </c>
      <c r="P2" s="145"/>
      <c r="Q2" s="145"/>
      <c r="R2" s="144" t="s">
        <v>60</v>
      </c>
      <c r="S2" s="145"/>
      <c r="T2" s="145"/>
      <c r="U2" s="170" t="s">
        <v>61</v>
      </c>
      <c r="V2" s="171"/>
      <c r="W2" s="172"/>
      <c r="X2" s="170" t="s">
        <v>62</v>
      </c>
      <c r="Y2" s="171"/>
      <c r="Z2" s="172"/>
      <c r="AA2" s="170" t="s">
        <v>63</v>
      </c>
      <c r="AB2" s="171"/>
      <c r="AC2" s="172"/>
      <c r="AD2" s="157"/>
      <c r="AE2" s="158"/>
    </row>
    <row r="3" spans="1:31" ht="36" customHeight="1" thickBot="1">
      <c r="A3" s="195"/>
      <c r="B3" s="196"/>
      <c r="C3" s="196"/>
      <c r="D3" s="196"/>
      <c r="E3" s="196"/>
      <c r="F3" s="196"/>
      <c r="G3" s="196"/>
      <c r="H3" s="197"/>
      <c r="I3" s="144" t="s">
        <v>65</v>
      </c>
      <c r="J3" s="145"/>
      <c r="K3" s="145"/>
      <c r="L3" s="144" t="s">
        <v>49</v>
      </c>
      <c r="M3" s="148"/>
      <c r="N3" s="149"/>
      <c r="O3" s="144" t="s">
        <v>54</v>
      </c>
      <c r="P3" s="145"/>
      <c r="Q3" s="146"/>
      <c r="R3" s="144" t="s">
        <v>123</v>
      </c>
      <c r="S3" s="145"/>
      <c r="T3" s="146"/>
      <c r="U3" s="144" t="s">
        <v>50</v>
      </c>
      <c r="V3" s="148"/>
      <c r="W3" s="149"/>
      <c r="X3" s="144" t="s">
        <v>0</v>
      </c>
      <c r="Y3" s="148"/>
      <c r="Z3" s="149"/>
      <c r="AA3" s="144" t="s">
        <v>1</v>
      </c>
      <c r="AB3" s="148"/>
      <c r="AC3" s="149"/>
      <c r="AD3" s="159"/>
      <c r="AE3" s="160"/>
    </row>
    <row r="4" spans="1:31" s="1" customFormat="1" ht="17.25" customHeight="1" thickBot="1">
      <c r="A4" s="125" t="s">
        <v>67</v>
      </c>
      <c r="B4" s="126"/>
      <c r="C4" s="126"/>
      <c r="D4" s="126"/>
      <c r="E4" s="126"/>
      <c r="F4" s="126"/>
      <c r="G4" s="126"/>
      <c r="H4" s="127"/>
      <c r="I4" s="140">
        <v>39934</v>
      </c>
      <c r="J4" s="141"/>
      <c r="K4" s="141"/>
      <c r="L4" s="140">
        <v>39941</v>
      </c>
      <c r="M4" s="142"/>
      <c r="N4" s="143"/>
      <c r="O4" s="140" t="s">
        <v>55</v>
      </c>
      <c r="P4" s="141"/>
      <c r="Q4" s="147"/>
      <c r="R4" s="140">
        <v>40053</v>
      </c>
      <c r="S4" s="141"/>
      <c r="T4" s="147"/>
      <c r="U4" s="140" t="s">
        <v>51</v>
      </c>
      <c r="V4" s="142"/>
      <c r="W4" s="143"/>
      <c r="X4" s="150">
        <v>40075</v>
      </c>
      <c r="Y4" s="151"/>
      <c r="Z4" s="152"/>
      <c r="AA4" s="150">
        <v>40076</v>
      </c>
      <c r="AB4" s="151"/>
      <c r="AC4" s="152"/>
      <c r="AD4" s="137"/>
      <c r="AE4" s="139"/>
    </row>
    <row r="5" spans="1:31" ht="14.25" customHeight="1">
      <c r="A5" s="128"/>
      <c r="B5" s="104"/>
      <c r="C5" s="104"/>
      <c r="D5" s="104"/>
      <c r="E5" s="104"/>
      <c r="F5" s="104"/>
      <c r="G5" s="104"/>
      <c r="H5" s="129"/>
      <c r="I5" s="116" t="s">
        <v>52</v>
      </c>
      <c r="J5" s="117"/>
      <c r="K5" s="117"/>
      <c r="L5" s="116" t="s">
        <v>16</v>
      </c>
      <c r="M5" s="135"/>
      <c r="N5" s="136"/>
      <c r="O5" s="116" t="s">
        <v>56</v>
      </c>
      <c r="P5" s="117"/>
      <c r="Q5" s="118"/>
      <c r="R5" s="116" t="s">
        <v>113</v>
      </c>
      <c r="S5" s="165"/>
      <c r="T5" s="166"/>
      <c r="U5" s="116" t="s">
        <v>113</v>
      </c>
      <c r="V5" s="165"/>
      <c r="W5" s="166"/>
      <c r="X5" s="116" t="s">
        <v>33</v>
      </c>
      <c r="Y5" s="165"/>
      <c r="Z5" s="166"/>
      <c r="AA5" s="116" t="s">
        <v>53</v>
      </c>
      <c r="AB5" s="165"/>
      <c r="AC5" s="166"/>
      <c r="AD5" s="189" t="s">
        <v>2</v>
      </c>
      <c r="AE5" s="173" t="s">
        <v>13</v>
      </c>
    </row>
    <row r="6" spans="1:31" ht="14.25" customHeight="1" thickBot="1">
      <c r="A6" s="130"/>
      <c r="B6" s="131"/>
      <c r="C6" s="131"/>
      <c r="D6" s="131"/>
      <c r="E6" s="131"/>
      <c r="F6" s="131"/>
      <c r="G6" s="131"/>
      <c r="H6" s="132"/>
      <c r="I6" s="133"/>
      <c r="J6" s="134"/>
      <c r="K6" s="134"/>
      <c r="L6" s="137"/>
      <c r="M6" s="138"/>
      <c r="N6" s="139"/>
      <c r="O6" s="119"/>
      <c r="P6" s="120"/>
      <c r="Q6" s="121"/>
      <c r="R6" s="182"/>
      <c r="S6" s="183"/>
      <c r="T6" s="184"/>
      <c r="U6" s="182"/>
      <c r="V6" s="183"/>
      <c r="W6" s="184"/>
      <c r="X6" s="167"/>
      <c r="Y6" s="168"/>
      <c r="Z6" s="169"/>
      <c r="AA6" s="167"/>
      <c r="AB6" s="168"/>
      <c r="AC6" s="169"/>
      <c r="AD6" s="190"/>
      <c r="AE6" s="174"/>
    </row>
    <row r="7" spans="1:31" ht="20.25" customHeight="1" thickBot="1">
      <c r="A7" s="55"/>
      <c r="B7" s="40"/>
      <c r="C7" s="40"/>
      <c r="D7" s="40"/>
      <c r="E7" s="40"/>
      <c r="F7" s="40"/>
      <c r="G7" s="40"/>
      <c r="H7" s="40"/>
      <c r="I7" s="107" t="s">
        <v>64</v>
      </c>
      <c r="J7" s="108"/>
      <c r="K7" s="109"/>
      <c r="L7" s="107" t="s">
        <v>66</v>
      </c>
      <c r="M7" s="108"/>
      <c r="N7" s="109"/>
      <c r="O7" s="107" t="s">
        <v>64</v>
      </c>
      <c r="P7" s="108"/>
      <c r="Q7" s="109"/>
      <c r="R7" s="107" t="s">
        <v>111</v>
      </c>
      <c r="S7" s="108"/>
      <c r="T7" s="109"/>
      <c r="U7" s="107" t="s">
        <v>111</v>
      </c>
      <c r="V7" s="108"/>
      <c r="W7" s="109"/>
      <c r="X7" s="107" t="s">
        <v>114</v>
      </c>
      <c r="Y7" s="108"/>
      <c r="Z7" s="109"/>
      <c r="AA7" s="107" t="s">
        <v>64</v>
      </c>
      <c r="AB7" s="108"/>
      <c r="AC7" s="109"/>
      <c r="AD7" s="190"/>
      <c r="AE7" s="174"/>
    </row>
    <row r="8" spans="1:31" ht="26.25" customHeight="1">
      <c r="A8" s="161" t="s">
        <v>127</v>
      </c>
      <c r="B8" s="163" t="s">
        <v>3</v>
      </c>
      <c r="C8" s="163" t="s">
        <v>4</v>
      </c>
      <c r="D8" s="178" t="s">
        <v>5</v>
      </c>
      <c r="E8" s="178" t="s">
        <v>6</v>
      </c>
      <c r="F8" s="178" t="s">
        <v>7</v>
      </c>
      <c r="G8" s="187" t="s">
        <v>8</v>
      </c>
      <c r="H8" s="180" t="s">
        <v>9</v>
      </c>
      <c r="I8" s="185" t="s">
        <v>10</v>
      </c>
      <c r="J8" s="105" t="s">
        <v>11</v>
      </c>
      <c r="K8" s="123" t="s">
        <v>12</v>
      </c>
      <c r="L8" s="105" t="s">
        <v>10</v>
      </c>
      <c r="M8" s="105" t="s">
        <v>11</v>
      </c>
      <c r="N8" s="123" t="s">
        <v>12</v>
      </c>
      <c r="O8" s="105" t="s">
        <v>10</v>
      </c>
      <c r="P8" s="105" t="s">
        <v>11</v>
      </c>
      <c r="Q8" s="123" t="s">
        <v>12</v>
      </c>
      <c r="R8" s="105" t="s">
        <v>10</v>
      </c>
      <c r="S8" s="105" t="s">
        <v>11</v>
      </c>
      <c r="T8" s="123" t="s">
        <v>12</v>
      </c>
      <c r="U8" s="110" t="s">
        <v>10</v>
      </c>
      <c r="V8" s="110" t="s">
        <v>11</v>
      </c>
      <c r="W8" s="114" t="s">
        <v>12</v>
      </c>
      <c r="X8" s="110" t="s">
        <v>10</v>
      </c>
      <c r="Y8" s="110" t="s">
        <v>11</v>
      </c>
      <c r="Z8" s="112" t="s">
        <v>12</v>
      </c>
      <c r="AA8" s="176" t="s">
        <v>10</v>
      </c>
      <c r="AB8" s="110" t="s">
        <v>11</v>
      </c>
      <c r="AC8" s="112" t="s">
        <v>12</v>
      </c>
      <c r="AD8" s="190"/>
      <c r="AE8" s="174"/>
    </row>
    <row r="9" spans="1:31" ht="30" customHeight="1" thickBot="1">
      <c r="A9" s="162"/>
      <c r="B9" s="164"/>
      <c r="C9" s="164"/>
      <c r="D9" s="179"/>
      <c r="E9" s="179"/>
      <c r="F9" s="179"/>
      <c r="G9" s="188"/>
      <c r="H9" s="181"/>
      <c r="I9" s="186"/>
      <c r="J9" s="122"/>
      <c r="K9" s="124"/>
      <c r="L9" s="106"/>
      <c r="M9" s="122"/>
      <c r="N9" s="124"/>
      <c r="O9" s="106"/>
      <c r="P9" s="122"/>
      <c r="Q9" s="124"/>
      <c r="R9" s="106"/>
      <c r="S9" s="122"/>
      <c r="T9" s="124"/>
      <c r="U9" s="111"/>
      <c r="V9" s="111"/>
      <c r="W9" s="115"/>
      <c r="X9" s="111"/>
      <c r="Y9" s="111"/>
      <c r="Z9" s="113"/>
      <c r="AA9" s="177"/>
      <c r="AB9" s="111"/>
      <c r="AC9" s="113"/>
      <c r="AD9" s="191"/>
      <c r="AE9" s="175"/>
    </row>
    <row r="10" spans="1:31" ht="30" customHeight="1">
      <c r="A10" s="47">
        <v>1</v>
      </c>
      <c r="B10" s="48" t="s">
        <v>68</v>
      </c>
      <c r="C10" s="44">
        <v>4</v>
      </c>
      <c r="D10" s="23" t="s">
        <v>24</v>
      </c>
      <c r="E10" s="96" t="s">
        <v>122</v>
      </c>
      <c r="F10" s="21" t="s">
        <v>25</v>
      </c>
      <c r="G10" s="12" t="s">
        <v>26</v>
      </c>
      <c r="H10" s="12">
        <v>1972</v>
      </c>
      <c r="I10" s="18">
        <v>85.70000000026005</v>
      </c>
      <c r="J10" s="13">
        <f>ROUND(I10/4,2)</f>
        <v>21.43</v>
      </c>
      <c r="K10" s="14">
        <f>10*2</f>
        <v>20</v>
      </c>
      <c r="L10" s="18">
        <v>354.499999998837</v>
      </c>
      <c r="M10" s="13">
        <f>L10/6</f>
        <v>59.0833333331395</v>
      </c>
      <c r="N10" s="15">
        <v>30</v>
      </c>
      <c r="O10" s="18">
        <v>154.49999999845846</v>
      </c>
      <c r="P10" s="13">
        <f>O10/5</f>
        <v>30.899999999691694</v>
      </c>
      <c r="Q10" s="14">
        <f>2*10</f>
        <v>20</v>
      </c>
      <c r="R10" s="18">
        <v>61</v>
      </c>
      <c r="S10" s="4">
        <f aca="true" t="shared" si="0" ref="S10:S15">R10/4</f>
        <v>15.25</v>
      </c>
      <c r="T10" s="14">
        <v>40</v>
      </c>
      <c r="U10" s="16">
        <v>147</v>
      </c>
      <c r="V10" s="17">
        <f aca="true" t="shared" si="1" ref="V10:V15">U10/8</f>
        <v>18.375</v>
      </c>
      <c r="W10" s="14">
        <v>40</v>
      </c>
      <c r="X10" s="18"/>
      <c r="Y10" s="13"/>
      <c r="Z10" s="14"/>
      <c r="AA10" s="19"/>
      <c r="AB10" s="50"/>
      <c r="AC10" s="27"/>
      <c r="AD10" s="11">
        <v>130</v>
      </c>
      <c r="AE10" s="64">
        <f>ROUND((I10+L10+O10+R10+U10-O10)/23,2)</f>
        <v>28.18</v>
      </c>
    </row>
    <row r="11" spans="1:31" ht="27" customHeight="1">
      <c r="A11" s="51">
        <v>2</v>
      </c>
      <c r="B11" s="48" t="s">
        <v>68</v>
      </c>
      <c r="C11" s="44">
        <v>3</v>
      </c>
      <c r="D11" s="20" t="s">
        <v>21</v>
      </c>
      <c r="E11" s="20" t="s">
        <v>22</v>
      </c>
      <c r="F11" s="21" t="s">
        <v>16</v>
      </c>
      <c r="G11" s="22" t="s">
        <v>23</v>
      </c>
      <c r="H11" s="22">
        <v>1950</v>
      </c>
      <c r="I11" s="93">
        <v>699.199999999809</v>
      </c>
      <c r="J11" s="13">
        <f>ROUND(I11/4,2)</f>
        <v>174.8</v>
      </c>
      <c r="K11" s="14">
        <f>4*2</f>
        <v>8</v>
      </c>
      <c r="L11" s="18">
        <v>666.3999999995015</v>
      </c>
      <c r="M11" s="13">
        <f>L11/6</f>
        <v>111.06666666658357</v>
      </c>
      <c r="N11" s="15">
        <v>24</v>
      </c>
      <c r="O11" s="18">
        <v>250.10000000037257</v>
      </c>
      <c r="P11" s="13">
        <f>O11/5</f>
        <v>50.02000000007452</v>
      </c>
      <c r="Q11" s="14">
        <f>2*8</f>
        <v>16</v>
      </c>
      <c r="R11" s="18">
        <v>161</v>
      </c>
      <c r="S11" s="4">
        <f t="shared" si="0"/>
        <v>40.25</v>
      </c>
      <c r="T11" s="14">
        <v>32</v>
      </c>
      <c r="U11" s="16">
        <v>347</v>
      </c>
      <c r="V11" s="17">
        <f t="shared" si="1"/>
        <v>43.375</v>
      </c>
      <c r="W11" s="14">
        <v>24</v>
      </c>
      <c r="X11" s="18">
        <v>1170</v>
      </c>
      <c r="Y11" s="13">
        <f>X11/5</f>
        <v>234</v>
      </c>
      <c r="Z11" s="14">
        <v>1</v>
      </c>
      <c r="AA11" s="19"/>
      <c r="AB11" s="50"/>
      <c r="AC11" s="27"/>
      <c r="AD11" s="11">
        <f>N11+Q11+T11+W11</f>
        <v>96</v>
      </c>
      <c r="AE11" s="64">
        <f>ROUND((L11+O11+R11+U11)/23,2)</f>
        <v>61.93</v>
      </c>
    </row>
    <row r="12" spans="1:31" ht="27" customHeight="1">
      <c r="A12" s="47">
        <v>3</v>
      </c>
      <c r="B12" s="48" t="s">
        <v>68</v>
      </c>
      <c r="C12" s="44">
        <v>2</v>
      </c>
      <c r="D12" s="23" t="s">
        <v>18</v>
      </c>
      <c r="E12" s="20" t="s">
        <v>19</v>
      </c>
      <c r="F12" s="101" t="s">
        <v>16</v>
      </c>
      <c r="G12" s="12" t="s">
        <v>20</v>
      </c>
      <c r="H12" s="12">
        <v>1958</v>
      </c>
      <c r="I12" s="18">
        <v>198.29999999875653</v>
      </c>
      <c r="J12" s="13">
        <f>ROUND(I12/4,2)</f>
        <v>49.57</v>
      </c>
      <c r="K12" s="14">
        <f>8*2</f>
        <v>16</v>
      </c>
      <c r="L12" s="18">
        <v>850.7000000007388</v>
      </c>
      <c r="M12" s="13">
        <f>L12/6</f>
        <v>141.78333333345645</v>
      </c>
      <c r="N12" s="15">
        <v>18</v>
      </c>
      <c r="O12" s="12"/>
      <c r="P12" s="13"/>
      <c r="Q12" s="14"/>
      <c r="R12" s="12">
        <v>1554</v>
      </c>
      <c r="S12" s="4">
        <f t="shared" si="0"/>
        <v>388.5</v>
      </c>
      <c r="T12" s="14">
        <v>8</v>
      </c>
      <c r="U12" s="16">
        <v>253</v>
      </c>
      <c r="V12" s="17">
        <f t="shared" si="1"/>
        <v>31.625</v>
      </c>
      <c r="W12" s="14">
        <v>32</v>
      </c>
      <c r="X12" s="18">
        <v>358</v>
      </c>
      <c r="Y12" s="13">
        <f>X12/5</f>
        <v>71.6</v>
      </c>
      <c r="Z12" s="14">
        <v>6</v>
      </c>
      <c r="AA12" s="19"/>
      <c r="AB12" s="50"/>
      <c r="AC12" s="27"/>
      <c r="AD12" s="11">
        <f>K12+N12+Q12+T12+W12</f>
        <v>74</v>
      </c>
      <c r="AE12" s="64">
        <f>ROUND((I12+L12+R12+U12)/22,2)</f>
        <v>129.82</v>
      </c>
    </row>
    <row r="13" spans="1:31" ht="27" customHeight="1">
      <c r="A13" s="51">
        <v>4</v>
      </c>
      <c r="B13" s="48" t="s">
        <v>68</v>
      </c>
      <c r="C13" s="44">
        <v>14</v>
      </c>
      <c r="D13" s="20" t="s">
        <v>92</v>
      </c>
      <c r="E13" s="20" t="s">
        <v>90</v>
      </c>
      <c r="F13" s="24" t="s">
        <v>91</v>
      </c>
      <c r="G13" s="12" t="s">
        <v>125</v>
      </c>
      <c r="H13" s="25">
        <v>1941</v>
      </c>
      <c r="I13" s="18">
        <v>642.8999999990098</v>
      </c>
      <c r="J13" s="13">
        <f>ROUND(I13/4,2)</f>
        <v>160.72</v>
      </c>
      <c r="K13" s="14">
        <f>6*2</f>
        <v>12</v>
      </c>
      <c r="L13" s="18">
        <v>1870.999999999629</v>
      </c>
      <c r="M13" s="13">
        <f>L13/6</f>
        <v>311.83333333327147</v>
      </c>
      <c r="N13" s="15">
        <v>6</v>
      </c>
      <c r="O13" s="12"/>
      <c r="P13" s="13"/>
      <c r="Q13" s="14"/>
      <c r="R13" s="12">
        <v>491</v>
      </c>
      <c r="S13" s="4">
        <f t="shared" si="0"/>
        <v>122.75</v>
      </c>
      <c r="T13" s="14">
        <v>24</v>
      </c>
      <c r="U13" s="16">
        <v>616</v>
      </c>
      <c r="V13" s="17">
        <f t="shared" si="1"/>
        <v>77</v>
      </c>
      <c r="W13" s="14">
        <v>16</v>
      </c>
      <c r="X13" s="18">
        <v>181</v>
      </c>
      <c r="Y13" s="13">
        <f>X13/5</f>
        <v>36.2</v>
      </c>
      <c r="Z13" s="14">
        <v>8</v>
      </c>
      <c r="AA13" s="19"/>
      <c r="AB13" s="50"/>
      <c r="AC13" s="27"/>
      <c r="AD13" s="11">
        <f>K13+Q13+T13+W13+Z13</f>
        <v>60</v>
      </c>
      <c r="AE13" s="64">
        <f>ROUND((I13+R13+U13+X13)/21,2)</f>
        <v>91.95</v>
      </c>
    </row>
    <row r="14" spans="1:31" ht="27" customHeight="1">
      <c r="A14" s="47">
        <v>5</v>
      </c>
      <c r="B14" s="48" t="s">
        <v>68</v>
      </c>
      <c r="C14" s="44">
        <v>20</v>
      </c>
      <c r="D14" s="20" t="s">
        <v>81</v>
      </c>
      <c r="E14" s="20" t="s">
        <v>82</v>
      </c>
      <c r="F14" s="21" t="s">
        <v>16</v>
      </c>
      <c r="G14" s="12" t="s">
        <v>83</v>
      </c>
      <c r="H14" s="12">
        <v>1962</v>
      </c>
      <c r="I14" s="18"/>
      <c r="J14" s="13"/>
      <c r="K14" s="14"/>
      <c r="L14" s="18">
        <v>1606.5999999987066</v>
      </c>
      <c r="M14" s="13">
        <f>L14/6</f>
        <v>267.7666666664511</v>
      </c>
      <c r="N14" s="15">
        <v>12</v>
      </c>
      <c r="O14" s="26"/>
      <c r="P14" s="13"/>
      <c r="Q14" s="14"/>
      <c r="R14" s="19">
        <v>816</v>
      </c>
      <c r="S14" s="4">
        <f t="shared" si="0"/>
        <v>204</v>
      </c>
      <c r="T14" s="14">
        <v>20</v>
      </c>
      <c r="U14" s="16">
        <v>646</v>
      </c>
      <c r="V14" s="17">
        <f t="shared" si="1"/>
        <v>80.75</v>
      </c>
      <c r="W14" s="14">
        <v>12</v>
      </c>
      <c r="X14" s="18">
        <v>493</v>
      </c>
      <c r="Y14" s="13">
        <f>X14/5</f>
        <v>98.6</v>
      </c>
      <c r="Z14" s="14">
        <v>4</v>
      </c>
      <c r="AA14" s="18"/>
      <c r="AB14" s="13"/>
      <c r="AC14" s="14"/>
      <c r="AD14" s="11">
        <f>K14+N14+Q14+T14+W14+Z14</f>
        <v>48</v>
      </c>
      <c r="AE14" s="64">
        <f>ROUND((L14+R14+U14+X14)/23,2)</f>
        <v>154.85</v>
      </c>
    </row>
    <row r="15" spans="1:31" ht="27" customHeight="1">
      <c r="A15" s="51">
        <v>6</v>
      </c>
      <c r="B15" s="48" t="s">
        <v>68</v>
      </c>
      <c r="C15" s="44">
        <v>13</v>
      </c>
      <c r="D15" s="45" t="s">
        <v>74</v>
      </c>
      <c r="E15" s="20" t="s">
        <v>75</v>
      </c>
      <c r="F15" s="98" t="s">
        <v>115</v>
      </c>
      <c r="G15" s="96" t="s">
        <v>116</v>
      </c>
      <c r="H15" s="25">
        <v>1984</v>
      </c>
      <c r="I15" s="18"/>
      <c r="J15" s="13"/>
      <c r="K15" s="14"/>
      <c r="L15" s="58"/>
      <c r="M15" s="13"/>
      <c r="N15" s="15"/>
      <c r="O15" s="26"/>
      <c r="P15" s="13"/>
      <c r="Q15" s="14"/>
      <c r="R15" s="19">
        <v>1239</v>
      </c>
      <c r="S15" s="13">
        <f t="shared" si="0"/>
        <v>309.75</v>
      </c>
      <c r="T15" s="14">
        <v>12</v>
      </c>
      <c r="U15" s="16">
        <v>563</v>
      </c>
      <c r="V15" s="17">
        <f t="shared" si="1"/>
        <v>70.375</v>
      </c>
      <c r="W15" s="14">
        <v>20</v>
      </c>
      <c r="X15" s="18"/>
      <c r="Y15" s="13"/>
      <c r="Z15" s="14"/>
      <c r="AA15" s="19"/>
      <c r="AB15" s="50"/>
      <c r="AC15" s="14"/>
      <c r="AD15" s="11">
        <f>T15+W15</f>
        <v>32</v>
      </c>
      <c r="AE15" s="64">
        <f>ROUND((R15+U15)/12,2)</f>
        <v>150.17</v>
      </c>
    </row>
    <row r="16" spans="1:31" ht="27" customHeight="1">
      <c r="A16" s="47">
        <v>7</v>
      </c>
      <c r="B16" s="48" t="s">
        <v>68</v>
      </c>
      <c r="C16" s="44">
        <v>23</v>
      </c>
      <c r="D16" s="19" t="s">
        <v>109</v>
      </c>
      <c r="E16" s="23" t="s">
        <v>124</v>
      </c>
      <c r="F16" s="21" t="s">
        <v>25</v>
      </c>
      <c r="G16" s="12" t="s">
        <v>26</v>
      </c>
      <c r="H16" s="12">
        <v>1972</v>
      </c>
      <c r="I16" s="18"/>
      <c r="J16" s="13"/>
      <c r="K16" s="14"/>
      <c r="L16" s="18"/>
      <c r="M16" s="13"/>
      <c r="N16" s="15"/>
      <c r="O16" s="18"/>
      <c r="P16" s="13"/>
      <c r="Q16" s="14"/>
      <c r="R16" s="18"/>
      <c r="S16" s="13"/>
      <c r="T16" s="14"/>
      <c r="U16" s="16"/>
      <c r="V16" s="17"/>
      <c r="W16" s="14"/>
      <c r="X16" s="18">
        <v>173</v>
      </c>
      <c r="Y16" s="13">
        <f>X16/5</f>
        <v>34.6</v>
      </c>
      <c r="Z16" s="14">
        <v>10</v>
      </c>
      <c r="AA16" s="19">
        <v>88</v>
      </c>
      <c r="AB16" s="50">
        <f>AA16/3</f>
        <v>29.333333333333332</v>
      </c>
      <c r="AC16" s="27">
        <v>20</v>
      </c>
      <c r="AD16" s="11">
        <f>Z16+AC16</f>
        <v>30</v>
      </c>
      <c r="AE16" s="64">
        <f>ROUND((X16+AA16)/8,2)</f>
        <v>32.63</v>
      </c>
    </row>
    <row r="17" spans="1:31" ht="27" customHeight="1">
      <c r="A17" s="51">
        <v>8</v>
      </c>
      <c r="B17" s="48" t="s">
        <v>68</v>
      </c>
      <c r="C17" s="44">
        <v>7</v>
      </c>
      <c r="D17" s="20" t="s">
        <v>28</v>
      </c>
      <c r="E17" s="20"/>
      <c r="F17" s="24" t="s">
        <v>29</v>
      </c>
      <c r="G17" s="12" t="s">
        <v>30</v>
      </c>
      <c r="H17" s="25">
        <v>1960</v>
      </c>
      <c r="I17" s="26"/>
      <c r="J17" s="13"/>
      <c r="K17" s="14"/>
      <c r="L17" s="58"/>
      <c r="M17" s="13"/>
      <c r="N17" s="15"/>
      <c r="O17" s="18">
        <v>844.8000000004162</v>
      </c>
      <c r="P17" s="13">
        <f>O17/5</f>
        <v>168.96000000008323</v>
      </c>
      <c r="Q17" s="14">
        <f>2*6</f>
        <v>12</v>
      </c>
      <c r="R17" s="18"/>
      <c r="S17" s="13"/>
      <c r="T17" s="14"/>
      <c r="U17" s="16"/>
      <c r="V17" s="17"/>
      <c r="W17" s="14"/>
      <c r="X17" s="18"/>
      <c r="Y17" s="13"/>
      <c r="Z17" s="14"/>
      <c r="AA17" s="19">
        <v>102</v>
      </c>
      <c r="AB17" s="50">
        <f>AA17/3</f>
        <v>34</v>
      </c>
      <c r="AC17" s="14">
        <v>16</v>
      </c>
      <c r="AD17" s="11">
        <f>K17+N17+Q17+AC17</f>
        <v>28</v>
      </c>
      <c r="AE17" s="64">
        <f>ROUND((I17+L17+O17+R17)/5,2)</f>
        <v>168.96</v>
      </c>
    </row>
    <row r="18" spans="1:31" ht="27" customHeight="1">
      <c r="A18" s="47">
        <v>9</v>
      </c>
      <c r="B18" s="48" t="s">
        <v>68</v>
      </c>
      <c r="C18" s="44">
        <v>8</v>
      </c>
      <c r="D18" s="23" t="s">
        <v>31</v>
      </c>
      <c r="E18" s="20" t="s">
        <v>32</v>
      </c>
      <c r="F18" s="21" t="s">
        <v>33</v>
      </c>
      <c r="G18" s="12" t="s">
        <v>34</v>
      </c>
      <c r="H18" s="12">
        <v>1960</v>
      </c>
      <c r="I18" s="18"/>
      <c r="J18" s="13"/>
      <c r="K18" s="14"/>
      <c r="L18" s="18">
        <v>1253.8999999999774</v>
      </c>
      <c r="M18" s="13">
        <f>L18/6</f>
        <v>208.98333333332957</v>
      </c>
      <c r="N18" s="15">
        <v>15</v>
      </c>
      <c r="O18" s="26"/>
      <c r="P18" s="13"/>
      <c r="Q18" s="14"/>
      <c r="R18" s="19">
        <v>4685</v>
      </c>
      <c r="S18" s="13">
        <f>R18/4</f>
        <v>1171.25</v>
      </c>
      <c r="T18" s="14"/>
      <c r="U18" s="16">
        <v>894</v>
      </c>
      <c r="V18" s="17">
        <f>U18/8</f>
        <v>111.75</v>
      </c>
      <c r="W18" s="14">
        <v>8</v>
      </c>
      <c r="X18" s="18">
        <v>577</v>
      </c>
      <c r="Y18" s="13">
        <f>X18/5</f>
        <v>115.4</v>
      </c>
      <c r="Z18" s="14">
        <v>3</v>
      </c>
      <c r="AA18" s="19"/>
      <c r="AB18" s="50"/>
      <c r="AC18" s="27"/>
      <c r="AD18" s="11">
        <f>K18+N18+Q18+T18+W18+Z18</f>
        <v>26</v>
      </c>
      <c r="AE18" s="64">
        <f>ROUND((L18+R18+U18+X18)/23,2)</f>
        <v>322.17</v>
      </c>
    </row>
    <row r="19" spans="1:31" s="1" customFormat="1" ht="25.5" customHeight="1">
      <c r="A19" s="51">
        <v>10</v>
      </c>
      <c r="B19" s="48" t="s">
        <v>68</v>
      </c>
      <c r="C19" s="44">
        <v>16</v>
      </c>
      <c r="D19" s="20" t="s">
        <v>84</v>
      </c>
      <c r="E19" s="20" t="s">
        <v>85</v>
      </c>
      <c r="F19" s="21" t="s">
        <v>16</v>
      </c>
      <c r="G19" s="22" t="s">
        <v>86</v>
      </c>
      <c r="H19" s="22">
        <v>1961</v>
      </c>
      <c r="I19" s="12"/>
      <c r="J19" s="13"/>
      <c r="K19" s="14"/>
      <c r="L19" s="18">
        <v>1800.2999999999156</v>
      </c>
      <c r="M19" s="13">
        <f>L19/6</f>
        <v>300.0499999999859</v>
      </c>
      <c r="N19" s="15">
        <v>9</v>
      </c>
      <c r="O19" s="12"/>
      <c r="P19" s="13"/>
      <c r="Q19" s="14"/>
      <c r="R19" s="12">
        <v>942</v>
      </c>
      <c r="S19" s="13">
        <f>R19/4</f>
        <v>235.5</v>
      </c>
      <c r="T19" s="14">
        <v>16</v>
      </c>
      <c r="U19" s="21"/>
      <c r="V19" s="17"/>
      <c r="W19" s="18" t="s">
        <v>110</v>
      </c>
      <c r="X19" s="18"/>
      <c r="Y19" s="13"/>
      <c r="Z19" s="14"/>
      <c r="AA19" s="12"/>
      <c r="AB19" s="13"/>
      <c r="AC19" s="14"/>
      <c r="AD19" s="11">
        <f>K19+N19+Q19+T19</f>
        <v>25</v>
      </c>
      <c r="AE19" s="64">
        <f>ROUND((I19+L19+O19+R19)/10,2)</f>
        <v>274.23</v>
      </c>
    </row>
    <row r="20" spans="1:31" ht="27" customHeight="1">
      <c r="A20" s="47">
        <v>11</v>
      </c>
      <c r="B20" s="48" t="s">
        <v>68</v>
      </c>
      <c r="C20" s="44">
        <v>5</v>
      </c>
      <c r="D20" s="20" t="s">
        <v>27</v>
      </c>
      <c r="E20" s="20" t="s">
        <v>73</v>
      </c>
      <c r="F20" s="21" t="s">
        <v>16</v>
      </c>
      <c r="G20" s="22" t="s">
        <v>126</v>
      </c>
      <c r="H20" s="22">
        <v>1930</v>
      </c>
      <c r="I20" s="18">
        <v>660.4999999996046</v>
      </c>
      <c r="J20" s="13">
        <f>ROUND(I20/4,2)</f>
        <v>165.12</v>
      </c>
      <c r="K20" s="14">
        <f>5*2</f>
        <v>10</v>
      </c>
      <c r="L20" s="58"/>
      <c r="M20" s="13"/>
      <c r="N20" s="15"/>
      <c r="O20" s="26"/>
      <c r="P20" s="13"/>
      <c r="Q20" s="14"/>
      <c r="R20" s="19">
        <v>2249</v>
      </c>
      <c r="S20" s="13">
        <f>R20/4</f>
        <v>562.25</v>
      </c>
      <c r="T20" s="14">
        <v>4</v>
      </c>
      <c r="U20" s="16"/>
      <c r="V20" s="17"/>
      <c r="W20" s="18" t="s">
        <v>110</v>
      </c>
      <c r="X20" s="18">
        <v>427</v>
      </c>
      <c r="Y20" s="13">
        <f>X20/5</f>
        <v>85.4</v>
      </c>
      <c r="Z20" s="14">
        <v>5</v>
      </c>
      <c r="AA20" s="19"/>
      <c r="AB20" s="50"/>
      <c r="AC20" s="26"/>
      <c r="AD20" s="11">
        <f>K20+N20+Q20+T20+Z20</f>
        <v>19</v>
      </c>
      <c r="AE20" s="64">
        <f>ROUND((I20+R20+X20)/13,2)</f>
        <v>256.65</v>
      </c>
    </row>
    <row r="21" spans="1:31" ht="25.5">
      <c r="A21" s="51">
        <v>12</v>
      </c>
      <c r="B21" s="3" t="s">
        <v>68</v>
      </c>
      <c r="C21" s="44">
        <v>18</v>
      </c>
      <c r="D21" s="23" t="s">
        <v>93</v>
      </c>
      <c r="E21" s="53"/>
      <c r="F21" s="41" t="s">
        <v>42</v>
      </c>
      <c r="G21" s="103" t="s">
        <v>69</v>
      </c>
      <c r="H21" s="103">
        <v>1959</v>
      </c>
      <c r="I21" s="10">
        <v>42760.39999999957</v>
      </c>
      <c r="J21" s="4">
        <f>ROUND(I21/4,2)</f>
        <v>10690.1</v>
      </c>
      <c r="K21" s="5">
        <f>3*2</f>
        <v>6</v>
      </c>
      <c r="L21" s="66"/>
      <c r="M21" s="4"/>
      <c r="N21" s="7"/>
      <c r="O21" s="6"/>
      <c r="P21" s="4"/>
      <c r="Q21" s="5"/>
      <c r="R21" s="6"/>
      <c r="S21" s="4"/>
      <c r="T21" s="5"/>
      <c r="U21" s="8"/>
      <c r="V21" s="9"/>
      <c r="W21" s="14"/>
      <c r="X21" s="10"/>
      <c r="Y21" s="4"/>
      <c r="Z21" s="5"/>
      <c r="AA21" s="67"/>
      <c r="AB21" s="85"/>
      <c r="AC21" s="95"/>
      <c r="AD21" s="11">
        <f>K21+N21+Q21</f>
        <v>6</v>
      </c>
      <c r="AE21" s="64">
        <f>ROUND((I21+L21+O21+R21)/4,2)</f>
        <v>10690.1</v>
      </c>
    </row>
    <row r="22" spans="1:31" ht="25.5" customHeight="1">
      <c r="A22" s="47">
        <v>13</v>
      </c>
      <c r="B22" s="48" t="s">
        <v>68</v>
      </c>
      <c r="C22" s="44">
        <v>17</v>
      </c>
      <c r="D22" s="68" t="s">
        <v>78</v>
      </c>
      <c r="E22" s="68" t="s">
        <v>79</v>
      </c>
      <c r="F22" s="69" t="s">
        <v>33</v>
      </c>
      <c r="G22" s="70" t="s">
        <v>80</v>
      </c>
      <c r="H22" s="70">
        <v>1967</v>
      </c>
      <c r="I22" s="12"/>
      <c r="J22" s="13"/>
      <c r="K22" s="14"/>
      <c r="L22" s="18">
        <v>3107.1000000000236</v>
      </c>
      <c r="M22" s="13">
        <f>L22/6</f>
        <v>517.8500000000039</v>
      </c>
      <c r="N22" s="15">
        <v>3</v>
      </c>
      <c r="O22" s="12"/>
      <c r="P22" s="13"/>
      <c r="Q22" s="14"/>
      <c r="R22" s="12"/>
      <c r="S22" s="4"/>
      <c r="T22" s="14"/>
      <c r="U22" s="16"/>
      <c r="V22" s="17"/>
      <c r="W22" s="14"/>
      <c r="X22" s="18">
        <v>783</v>
      </c>
      <c r="Y22" s="13">
        <f>X22/5</f>
        <v>156.6</v>
      </c>
      <c r="Z22" s="14">
        <v>2</v>
      </c>
      <c r="AA22" s="12"/>
      <c r="AB22" s="13"/>
      <c r="AC22" s="14"/>
      <c r="AD22" s="11">
        <f>K22+N22+Q22+Z22</f>
        <v>5</v>
      </c>
      <c r="AE22" s="64">
        <f>ROUND((L22+X22)/11,2)</f>
        <v>353.65</v>
      </c>
    </row>
    <row r="23" spans="1:31" ht="24" customHeight="1">
      <c r="A23" s="51">
        <v>14</v>
      </c>
      <c r="B23" s="48" t="s">
        <v>68</v>
      </c>
      <c r="C23" s="44">
        <v>22</v>
      </c>
      <c r="D23" s="23" t="s">
        <v>117</v>
      </c>
      <c r="E23" s="20" t="s">
        <v>118</v>
      </c>
      <c r="F23" s="21" t="s">
        <v>119</v>
      </c>
      <c r="G23" s="12" t="s">
        <v>120</v>
      </c>
      <c r="H23" s="12">
        <v>1971</v>
      </c>
      <c r="I23" s="12"/>
      <c r="J23" s="13"/>
      <c r="K23" s="14"/>
      <c r="L23" s="12"/>
      <c r="M23" s="13"/>
      <c r="N23" s="15"/>
      <c r="O23" s="12"/>
      <c r="P23" s="13"/>
      <c r="Q23" s="14"/>
      <c r="R23" s="97">
        <v>3896.700000000311</v>
      </c>
      <c r="S23" s="13">
        <f>R23/4</f>
        <v>974.1750000000777</v>
      </c>
      <c r="T23" s="14"/>
      <c r="U23" s="97">
        <v>1703.9999999998136</v>
      </c>
      <c r="V23" s="17">
        <f>U23/8</f>
        <v>212.9999999999767</v>
      </c>
      <c r="W23" s="14">
        <v>4</v>
      </c>
      <c r="X23" s="18"/>
      <c r="Y23" s="13"/>
      <c r="Z23" s="14"/>
      <c r="AA23" s="19"/>
      <c r="AB23" s="50"/>
      <c r="AC23" s="27"/>
      <c r="AD23" s="11">
        <v>4</v>
      </c>
      <c r="AE23" s="64">
        <f>U23/8</f>
        <v>212.9999999999767</v>
      </c>
    </row>
    <row r="24" spans="1:31" ht="27" customHeight="1">
      <c r="A24" s="47"/>
      <c r="B24" s="48" t="s">
        <v>68</v>
      </c>
      <c r="C24" s="44">
        <v>21</v>
      </c>
      <c r="D24" s="23" t="s">
        <v>121</v>
      </c>
      <c r="E24" s="100"/>
      <c r="F24" s="21" t="s">
        <v>25</v>
      </c>
      <c r="G24" s="12" t="s">
        <v>89</v>
      </c>
      <c r="H24" s="12">
        <v>1967</v>
      </c>
      <c r="I24" s="12"/>
      <c r="J24" s="13"/>
      <c r="K24" s="14"/>
      <c r="L24" s="12"/>
      <c r="M24" s="13"/>
      <c r="N24" s="15"/>
      <c r="O24" s="12"/>
      <c r="P24" s="13"/>
      <c r="Q24" s="14"/>
      <c r="R24" s="12"/>
      <c r="S24" s="4"/>
      <c r="T24" s="14"/>
      <c r="U24" s="16"/>
      <c r="V24" s="17"/>
      <c r="W24" s="18" t="s">
        <v>110</v>
      </c>
      <c r="X24" s="18"/>
      <c r="Y24" s="13"/>
      <c r="Z24" s="14"/>
      <c r="AA24" s="19"/>
      <c r="AB24" s="50"/>
      <c r="AC24" s="27"/>
      <c r="AD24" s="11" t="s">
        <v>110</v>
      </c>
      <c r="AE24" s="64"/>
    </row>
    <row r="25" spans="1:31" ht="27" customHeight="1">
      <c r="A25" s="51"/>
      <c r="B25" s="48" t="s">
        <v>68</v>
      </c>
      <c r="C25" s="44">
        <v>24</v>
      </c>
      <c r="D25" s="46" t="s">
        <v>94</v>
      </c>
      <c r="E25" s="46" t="s">
        <v>95</v>
      </c>
      <c r="F25" s="42" t="s">
        <v>96</v>
      </c>
      <c r="G25" s="43" t="s">
        <v>97</v>
      </c>
      <c r="H25" s="43">
        <v>1941</v>
      </c>
      <c r="I25" s="18">
        <v>390</v>
      </c>
      <c r="J25" s="13">
        <f>ROUND(I25/4,2)</f>
        <v>97.5</v>
      </c>
      <c r="K25" s="18" t="s">
        <v>110</v>
      </c>
      <c r="L25" s="12"/>
      <c r="M25" s="13"/>
      <c r="N25" s="15"/>
      <c r="O25" s="12"/>
      <c r="P25" s="13"/>
      <c r="Q25" s="14"/>
      <c r="R25" s="12"/>
      <c r="S25" s="4"/>
      <c r="T25" s="14"/>
      <c r="U25" s="16"/>
      <c r="V25" s="17"/>
      <c r="W25" s="14"/>
      <c r="X25" s="18"/>
      <c r="Y25" s="13"/>
      <c r="Z25" s="14"/>
      <c r="AA25" s="19"/>
      <c r="AB25" s="50"/>
      <c r="AC25" s="26"/>
      <c r="AD25" s="11" t="str">
        <f>K25</f>
        <v>DSQ</v>
      </c>
      <c r="AE25" s="64">
        <f>J25</f>
        <v>97.5</v>
      </c>
    </row>
    <row r="26" spans="1:31" ht="27.75" customHeight="1">
      <c r="A26" s="51"/>
      <c r="B26" s="48" t="s">
        <v>68</v>
      </c>
      <c r="C26" s="44">
        <v>1</v>
      </c>
      <c r="D26" s="20" t="s">
        <v>14</v>
      </c>
      <c r="E26" s="20" t="s">
        <v>15</v>
      </c>
      <c r="F26" s="21" t="s">
        <v>16</v>
      </c>
      <c r="G26" s="31" t="s">
        <v>17</v>
      </c>
      <c r="H26" s="25">
        <v>1974</v>
      </c>
      <c r="I26" s="12"/>
      <c r="J26" s="13"/>
      <c r="K26" s="14"/>
      <c r="L26" s="12"/>
      <c r="M26" s="13"/>
      <c r="N26" s="15"/>
      <c r="O26" s="12"/>
      <c r="P26" s="13"/>
      <c r="Q26" s="14"/>
      <c r="R26" s="12"/>
      <c r="S26" s="13"/>
      <c r="T26" s="14"/>
      <c r="U26" s="21"/>
      <c r="V26" s="17"/>
      <c r="W26" s="49"/>
      <c r="X26" s="18"/>
      <c r="Y26" s="13"/>
      <c r="Z26" s="14"/>
      <c r="AA26" s="12"/>
      <c r="AB26" s="13"/>
      <c r="AC26" s="14"/>
      <c r="AD26" s="11"/>
      <c r="AE26" s="64"/>
    </row>
    <row r="27" spans="1:31" ht="27.75" customHeight="1">
      <c r="A27" s="47"/>
      <c r="B27" s="48" t="s">
        <v>68</v>
      </c>
      <c r="C27" s="44">
        <v>10</v>
      </c>
      <c r="D27" s="23" t="s">
        <v>35</v>
      </c>
      <c r="E27" s="20" t="s">
        <v>36</v>
      </c>
      <c r="F27" s="21" t="s">
        <v>25</v>
      </c>
      <c r="G27" s="12" t="s">
        <v>37</v>
      </c>
      <c r="H27" s="12">
        <v>1958</v>
      </c>
      <c r="I27" s="12"/>
      <c r="J27" s="13"/>
      <c r="K27" s="14"/>
      <c r="L27" s="58"/>
      <c r="M27" s="13"/>
      <c r="N27" s="15"/>
      <c r="O27" s="26"/>
      <c r="P27" s="13"/>
      <c r="Q27" s="14"/>
      <c r="R27" s="26"/>
      <c r="S27" s="13"/>
      <c r="T27" s="14"/>
      <c r="U27" s="16"/>
      <c r="V27" s="17"/>
      <c r="W27" s="14"/>
      <c r="X27" s="32"/>
      <c r="Y27" s="13"/>
      <c r="Z27" s="14"/>
      <c r="AA27" s="19"/>
      <c r="AB27" s="50"/>
      <c r="AC27" s="14"/>
      <c r="AD27" s="11"/>
      <c r="AE27" s="65"/>
    </row>
    <row r="28" spans="1:31" ht="27.75" customHeight="1">
      <c r="A28" s="51"/>
      <c r="B28" s="3" t="s">
        <v>68</v>
      </c>
      <c r="C28" s="52">
        <v>11</v>
      </c>
      <c r="D28" s="53" t="s">
        <v>38</v>
      </c>
      <c r="E28" s="53" t="s">
        <v>39</v>
      </c>
      <c r="F28" s="41" t="s">
        <v>40</v>
      </c>
      <c r="G28" s="6" t="s">
        <v>41</v>
      </c>
      <c r="H28" s="102">
        <v>1970</v>
      </c>
      <c r="I28" s="6"/>
      <c r="J28" s="4"/>
      <c r="K28" s="5"/>
      <c r="L28" s="66"/>
      <c r="M28" s="4"/>
      <c r="N28" s="7"/>
      <c r="O28" s="56"/>
      <c r="P28" s="4"/>
      <c r="Q28" s="5"/>
      <c r="R28" s="26"/>
      <c r="S28" s="13"/>
      <c r="T28" s="5"/>
      <c r="U28" s="99"/>
      <c r="V28" s="9"/>
      <c r="W28" s="5"/>
      <c r="X28" s="10"/>
      <c r="Y28" s="4"/>
      <c r="Z28" s="5"/>
      <c r="AA28" s="67"/>
      <c r="AB28" s="85"/>
      <c r="AC28" s="5"/>
      <c r="AD28" s="11"/>
      <c r="AE28" s="64"/>
    </row>
    <row r="29" spans="1:31" ht="28.5" customHeight="1">
      <c r="A29" s="51"/>
      <c r="B29" s="3" t="s">
        <v>68</v>
      </c>
      <c r="C29" s="52">
        <v>15</v>
      </c>
      <c r="D29" s="94" t="s">
        <v>76</v>
      </c>
      <c r="E29" s="53"/>
      <c r="F29" s="41" t="s">
        <v>25</v>
      </c>
      <c r="G29" s="6" t="s">
        <v>77</v>
      </c>
      <c r="H29" s="6">
        <v>1968</v>
      </c>
      <c r="I29" s="10"/>
      <c r="J29" s="4"/>
      <c r="K29" s="5"/>
      <c r="L29" s="66"/>
      <c r="M29" s="4"/>
      <c r="N29" s="7"/>
      <c r="O29" s="56"/>
      <c r="P29" s="4"/>
      <c r="Q29" s="5"/>
      <c r="R29" s="56"/>
      <c r="S29" s="4"/>
      <c r="T29" s="5"/>
      <c r="U29" s="8"/>
      <c r="V29" s="9"/>
      <c r="W29" s="5"/>
      <c r="X29" s="10"/>
      <c r="Y29" s="4"/>
      <c r="Z29" s="5"/>
      <c r="AA29" s="10"/>
      <c r="AB29" s="4"/>
      <c r="AC29" s="5"/>
      <c r="AD29" s="11"/>
      <c r="AE29" s="64"/>
    </row>
    <row r="30" spans="1:31" ht="27" customHeight="1">
      <c r="A30" s="47"/>
      <c r="B30" s="48" t="s">
        <v>68</v>
      </c>
      <c r="C30" s="44">
        <v>19</v>
      </c>
      <c r="D30" s="23" t="s">
        <v>87</v>
      </c>
      <c r="E30" s="20" t="s">
        <v>88</v>
      </c>
      <c r="F30" s="21" t="s">
        <v>25</v>
      </c>
      <c r="G30" s="12" t="s">
        <v>89</v>
      </c>
      <c r="H30" s="12">
        <v>1967</v>
      </c>
      <c r="I30" s="12"/>
      <c r="J30" s="13"/>
      <c r="K30" s="14"/>
      <c r="L30" s="12"/>
      <c r="M30" s="13"/>
      <c r="N30" s="15"/>
      <c r="O30" s="12"/>
      <c r="P30" s="13"/>
      <c r="Q30" s="14"/>
      <c r="R30" s="12"/>
      <c r="S30" s="4"/>
      <c r="T30" s="14"/>
      <c r="U30" s="16"/>
      <c r="V30" s="17"/>
      <c r="W30" s="14"/>
      <c r="X30" s="18"/>
      <c r="Y30" s="13"/>
      <c r="Z30" s="14"/>
      <c r="AA30" s="19"/>
      <c r="AB30" s="50"/>
      <c r="AC30" s="27"/>
      <c r="AD30" s="11"/>
      <c r="AE30" s="64"/>
    </row>
    <row r="31" spans="1:31" ht="261" customHeight="1" thickBot="1">
      <c r="A31" s="82"/>
      <c r="B31" s="71"/>
      <c r="C31" s="72"/>
      <c r="D31" s="83"/>
      <c r="E31" s="83"/>
      <c r="F31" s="84"/>
      <c r="G31" s="75"/>
      <c r="H31" s="75"/>
      <c r="I31" s="73"/>
      <c r="J31" s="74"/>
      <c r="K31" s="73"/>
      <c r="L31" s="75"/>
      <c r="M31" s="74"/>
      <c r="N31" s="76"/>
      <c r="O31" s="75"/>
      <c r="P31" s="74"/>
      <c r="Q31" s="77"/>
      <c r="R31" s="78"/>
      <c r="S31" s="79"/>
      <c r="T31" s="77"/>
      <c r="U31" s="78"/>
      <c r="V31" s="79"/>
      <c r="W31" s="77"/>
      <c r="X31" s="73"/>
      <c r="Y31" s="74"/>
      <c r="Z31" s="77"/>
      <c r="AA31" s="80"/>
      <c r="AB31" s="81"/>
      <c r="AC31" s="1"/>
      <c r="AD31" s="75"/>
      <c r="AE31" s="74"/>
    </row>
    <row r="32" spans="1:31" ht="44.25" customHeight="1" thickBot="1">
      <c r="A32" s="153" t="s">
        <v>128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5"/>
      <c r="AB32" s="155"/>
      <c r="AC32" s="155"/>
      <c r="AD32" s="155"/>
      <c r="AE32" s="156"/>
    </row>
    <row r="33" spans="1:31" ht="33.75" customHeight="1" thickBot="1">
      <c r="A33" s="192"/>
      <c r="B33" s="193"/>
      <c r="C33" s="193"/>
      <c r="D33" s="193"/>
      <c r="E33" s="193"/>
      <c r="F33" s="193"/>
      <c r="G33" s="193"/>
      <c r="H33" s="194"/>
      <c r="I33" s="144" t="s">
        <v>57</v>
      </c>
      <c r="J33" s="145"/>
      <c r="K33" s="145"/>
      <c r="L33" s="144" t="s">
        <v>58</v>
      </c>
      <c r="M33" s="145"/>
      <c r="N33" s="145"/>
      <c r="O33" s="144" t="s">
        <v>59</v>
      </c>
      <c r="P33" s="145"/>
      <c r="Q33" s="145"/>
      <c r="R33" s="144" t="s">
        <v>60</v>
      </c>
      <c r="S33" s="145"/>
      <c r="T33" s="145"/>
      <c r="U33" s="170" t="s">
        <v>61</v>
      </c>
      <c r="V33" s="171"/>
      <c r="W33" s="172"/>
      <c r="X33" s="170" t="s">
        <v>62</v>
      </c>
      <c r="Y33" s="171"/>
      <c r="Z33" s="172"/>
      <c r="AA33" s="170" t="s">
        <v>63</v>
      </c>
      <c r="AB33" s="171"/>
      <c r="AC33" s="172"/>
      <c r="AD33" s="157"/>
      <c r="AE33" s="158"/>
    </row>
    <row r="34" spans="1:31" ht="27" customHeight="1" thickBot="1">
      <c r="A34" s="195"/>
      <c r="B34" s="196"/>
      <c r="C34" s="196"/>
      <c r="D34" s="196"/>
      <c r="E34" s="196"/>
      <c r="F34" s="196"/>
      <c r="G34" s="196"/>
      <c r="H34" s="197"/>
      <c r="I34" s="144" t="s">
        <v>65</v>
      </c>
      <c r="J34" s="145"/>
      <c r="K34" s="145"/>
      <c r="L34" s="144" t="s">
        <v>49</v>
      </c>
      <c r="M34" s="148"/>
      <c r="N34" s="149"/>
      <c r="O34" s="144" t="s">
        <v>54</v>
      </c>
      <c r="P34" s="145"/>
      <c r="Q34" s="146"/>
      <c r="R34" s="144" t="s">
        <v>112</v>
      </c>
      <c r="S34" s="145"/>
      <c r="T34" s="146"/>
      <c r="U34" s="144" t="s">
        <v>50</v>
      </c>
      <c r="V34" s="148"/>
      <c r="W34" s="149"/>
      <c r="X34" s="144" t="s">
        <v>0</v>
      </c>
      <c r="Y34" s="148"/>
      <c r="Z34" s="149"/>
      <c r="AA34" s="144" t="s">
        <v>1</v>
      </c>
      <c r="AB34" s="148"/>
      <c r="AC34" s="149"/>
      <c r="AD34" s="159"/>
      <c r="AE34" s="160"/>
    </row>
    <row r="35" spans="1:31" ht="20.25" customHeight="1" thickBot="1">
      <c r="A35" s="125" t="s">
        <v>98</v>
      </c>
      <c r="B35" s="126"/>
      <c r="C35" s="126"/>
      <c r="D35" s="126"/>
      <c r="E35" s="126"/>
      <c r="F35" s="126"/>
      <c r="G35" s="126"/>
      <c r="H35" s="127"/>
      <c r="I35" s="140">
        <v>39934</v>
      </c>
      <c r="J35" s="141"/>
      <c r="K35" s="141"/>
      <c r="L35" s="140">
        <v>39941</v>
      </c>
      <c r="M35" s="142"/>
      <c r="N35" s="143"/>
      <c r="O35" s="140" t="s">
        <v>55</v>
      </c>
      <c r="P35" s="141"/>
      <c r="Q35" s="147"/>
      <c r="R35" s="140">
        <v>40053</v>
      </c>
      <c r="S35" s="141"/>
      <c r="T35" s="147"/>
      <c r="U35" s="140" t="s">
        <v>51</v>
      </c>
      <c r="V35" s="142"/>
      <c r="W35" s="143"/>
      <c r="X35" s="150">
        <v>40075</v>
      </c>
      <c r="Y35" s="151"/>
      <c r="Z35" s="152"/>
      <c r="AA35" s="150">
        <v>40076</v>
      </c>
      <c r="AB35" s="151"/>
      <c r="AC35" s="152"/>
      <c r="AD35" s="137"/>
      <c r="AE35" s="139"/>
    </row>
    <row r="36" spans="1:31" ht="20.25" customHeight="1">
      <c r="A36" s="128"/>
      <c r="B36" s="104"/>
      <c r="C36" s="104"/>
      <c r="D36" s="104"/>
      <c r="E36" s="104"/>
      <c r="F36" s="104"/>
      <c r="G36" s="104"/>
      <c r="H36" s="129"/>
      <c r="I36" s="116" t="s">
        <v>52</v>
      </c>
      <c r="J36" s="117"/>
      <c r="K36" s="117"/>
      <c r="L36" s="116" t="s">
        <v>16</v>
      </c>
      <c r="M36" s="135"/>
      <c r="N36" s="136"/>
      <c r="O36" s="116" t="s">
        <v>56</v>
      </c>
      <c r="P36" s="117"/>
      <c r="Q36" s="118"/>
      <c r="R36" s="116" t="s">
        <v>113</v>
      </c>
      <c r="S36" s="165"/>
      <c r="T36" s="166"/>
      <c r="U36" s="116" t="s">
        <v>113</v>
      </c>
      <c r="V36" s="165"/>
      <c r="W36" s="166"/>
      <c r="X36" s="116" t="s">
        <v>33</v>
      </c>
      <c r="Y36" s="165"/>
      <c r="Z36" s="166"/>
      <c r="AA36" s="116" t="s">
        <v>53</v>
      </c>
      <c r="AB36" s="165"/>
      <c r="AC36" s="166"/>
      <c r="AD36" s="189" t="s">
        <v>2</v>
      </c>
      <c r="AE36" s="173" t="s">
        <v>13</v>
      </c>
    </row>
    <row r="37" spans="1:31" ht="15" customHeight="1" thickBot="1">
      <c r="A37" s="130"/>
      <c r="B37" s="131"/>
      <c r="C37" s="131"/>
      <c r="D37" s="131"/>
      <c r="E37" s="131"/>
      <c r="F37" s="131"/>
      <c r="G37" s="131"/>
      <c r="H37" s="132"/>
      <c r="I37" s="133"/>
      <c r="J37" s="134"/>
      <c r="K37" s="134"/>
      <c r="L37" s="137"/>
      <c r="M37" s="138"/>
      <c r="N37" s="139"/>
      <c r="O37" s="119"/>
      <c r="P37" s="120"/>
      <c r="Q37" s="121"/>
      <c r="R37" s="182"/>
      <c r="S37" s="183"/>
      <c r="T37" s="184"/>
      <c r="U37" s="182"/>
      <c r="V37" s="183"/>
      <c r="W37" s="184"/>
      <c r="X37" s="167"/>
      <c r="Y37" s="168"/>
      <c r="Z37" s="169"/>
      <c r="AA37" s="167"/>
      <c r="AB37" s="168"/>
      <c r="AC37" s="169"/>
      <c r="AD37" s="190"/>
      <c r="AE37" s="174"/>
    </row>
    <row r="38" spans="1:31" ht="25.5" customHeight="1" thickBot="1">
      <c r="A38" s="55"/>
      <c r="B38" s="40"/>
      <c r="C38" s="40"/>
      <c r="D38" s="40"/>
      <c r="E38" s="40"/>
      <c r="F38" s="40"/>
      <c r="G38" s="40"/>
      <c r="H38" s="40"/>
      <c r="I38" s="107" t="s">
        <v>64</v>
      </c>
      <c r="J38" s="108"/>
      <c r="K38" s="109"/>
      <c r="L38" s="107" t="s">
        <v>66</v>
      </c>
      <c r="M38" s="108"/>
      <c r="N38" s="109"/>
      <c r="O38" s="107" t="s">
        <v>64</v>
      </c>
      <c r="P38" s="108"/>
      <c r="Q38" s="109"/>
      <c r="R38" s="107" t="s">
        <v>111</v>
      </c>
      <c r="S38" s="108"/>
      <c r="T38" s="109"/>
      <c r="U38" s="107" t="s">
        <v>111</v>
      </c>
      <c r="V38" s="108"/>
      <c r="W38" s="109"/>
      <c r="X38" s="107" t="s">
        <v>114</v>
      </c>
      <c r="Y38" s="108"/>
      <c r="Z38" s="109"/>
      <c r="AA38" s="107" t="s">
        <v>64</v>
      </c>
      <c r="AB38" s="108"/>
      <c r="AC38" s="109"/>
      <c r="AD38" s="190"/>
      <c r="AE38" s="174"/>
    </row>
    <row r="39" spans="1:31" ht="22.5" customHeight="1">
      <c r="A39" s="161" t="s">
        <v>127</v>
      </c>
      <c r="B39" s="163" t="s">
        <v>3</v>
      </c>
      <c r="C39" s="163" t="s">
        <v>4</v>
      </c>
      <c r="D39" s="178" t="s">
        <v>5</v>
      </c>
      <c r="E39" s="178" t="s">
        <v>6</v>
      </c>
      <c r="F39" s="178" t="s">
        <v>7</v>
      </c>
      <c r="G39" s="187" t="s">
        <v>8</v>
      </c>
      <c r="H39" s="180" t="s">
        <v>9</v>
      </c>
      <c r="I39" s="185" t="s">
        <v>10</v>
      </c>
      <c r="J39" s="105" t="s">
        <v>11</v>
      </c>
      <c r="K39" s="123" t="s">
        <v>12</v>
      </c>
      <c r="L39" s="105" t="s">
        <v>10</v>
      </c>
      <c r="M39" s="105" t="s">
        <v>11</v>
      </c>
      <c r="N39" s="123" t="s">
        <v>12</v>
      </c>
      <c r="O39" s="105" t="s">
        <v>10</v>
      </c>
      <c r="P39" s="105" t="s">
        <v>11</v>
      </c>
      <c r="Q39" s="123" t="s">
        <v>12</v>
      </c>
      <c r="R39" s="105" t="s">
        <v>10</v>
      </c>
      <c r="S39" s="105" t="s">
        <v>11</v>
      </c>
      <c r="T39" s="123" t="s">
        <v>12</v>
      </c>
      <c r="U39" s="110" t="s">
        <v>10</v>
      </c>
      <c r="V39" s="110" t="s">
        <v>11</v>
      </c>
      <c r="W39" s="114" t="s">
        <v>12</v>
      </c>
      <c r="X39" s="110" t="s">
        <v>10</v>
      </c>
      <c r="Y39" s="110" t="s">
        <v>11</v>
      </c>
      <c r="Z39" s="112" t="s">
        <v>12</v>
      </c>
      <c r="AA39" s="176" t="s">
        <v>10</v>
      </c>
      <c r="AB39" s="110" t="s">
        <v>11</v>
      </c>
      <c r="AC39" s="112" t="s">
        <v>12</v>
      </c>
      <c r="AD39" s="190"/>
      <c r="AE39" s="174"/>
    </row>
    <row r="40" spans="1:31" ht="22.5" customHeight="1" thickBot="1">
      <c r="A40" s="162"/>
      <c r="B40" s="164"/>
      <c r="C40" s="164"/>
      <c r="D40" s="179"/>
      <c r="E40" s="179"/>
      <c r="F40" s="179"/>
      <c r="G40" s="188"/>
      <c r="H40" s="181"/>
      <c r="I40" s="186"/>
      <c r="J40" s="122"/>
      <c r="K40" s="124"/>
      <c r="L40" s="106"/>
      <c r="M40" s="122"/>
      <c r="N40" s="124"/>
      <c r="O40" s="106"/>
      <c r="P40" s="122"/>
      <c r="Q40" s="124"/>
      <c r="R40" s="106"/>
      <c r="S40" s="122"/>
      <c r="T40" s="124"/>
      <c r="U40" s="111"/>
      <c r="V40" s="111"/>
      <c r="W40" s="115"/>
      <c r="X40" s="111"/>
      <c r="Y40" s="111"/>
      <c r="Z40" s="113"/>
      <c r="AA40" s="177"/>
      <c r="AB40" s="111"/>
      <c r="AC40" s="113"/>
      <c r="AD40" s="191"/>
      <c r="AE40" s="175"/>
    </row>
    <row r="41" spans="1:31" ht="24" customHeight="1">
      <c r="A41" s="63">
        <v>1</v>
      </c>
      <c r="B41" s="60" t="s">
        <v>43</v>
      </c>
      <c r="C41" s="86">
        <v>51</v>
      </c>
      <c r="D41" s="60" t="s">
        <v>71</v>
      </c>
      <c r="E41" s="87"/>
      <c r="F41" s="88" t="s">
        <v>99</v>
      </c>
      <c r="G41" s="54" t="s">
        <v>100</v>
      </c>
      <c r="H41" s="54">
        <v>1948</v>
      </c>
      <c r="I41" s="61">
        <v>1371.900000000679</v>
      </c>
      <c r="J41" s="4">
        <f>ROUND(I41/4,2)</f>
        <v>342.98</v>
      </c>
      <c r="K41" s="5">
        <f>6*2</f>
        <v>12</v>
      </c>
      <c r="L41" s="61">
        <v>484.00000000037477</v>
      </c>
      <c r="M41" s="9">
        <f aca="true" t="shared" si="2" ref="M41:M47">L41/6</f>
        <v>80.66666666672913</v>
      </c>
      <c r="N41" s="5">
        <v>30</v>
      </c>
      <c r="O41" s="10">
        <v>504.5999999998991</v>
      </c>
      <c r="P41" s="67">
        <f>O41/5</f>
        <v>100.91999999997982</v>
      </c>
      <c r="Q41" s="90">
        <v>12</v>
      </c>
      <c r="R41" s="10">
        <v>138</v>
      </c>
      <c r="S41" s="4">
        <f aca="true" t="shared" si="3" ref="S41:S46">R41/4</f>
        <v>34.5</v>
      </c>
      <c r="T41" s="90">
        <v>40</v>
      </c>
      <c r="U41" s="67">
        <v>3873</v>
      </c>
      <c r="V41" s="67">
        <f>U41/8</f>
        <v>484.125</v>
      </c>
      <c r="W41" s="90">
        <v>32</v>
      </c>
      <c r="X41" s="67">
        <v>216</v>
      </c>
      <c r="Y41" s="67">
        <f>X41/5</f>
        <v>43.2</v>
      </c>
      <c r="Z41" s="33">
        <v>8</v>
      </c>
      <c r="AA41" s="56"/>
      <c r="AB41" s="89"/>
      <c r="AC41" s="90"/>
      <c r="AD41" s="92">
        <f>N41+Q41+T41+W41</f>
        <v>114</v>
      </c>
      <c r="AE41" s="64">
        <f>ROUND((L41+O41+R41+U41)/23,2)</f>
        <v>217.37</v>
      </c>
    </row>
    <row r="42" spans="1:31" ht="29.25" customHeight="1">
      <c r="A42" s="63">
        <v>2</v>
      </c>
      <c r="B42" s="29" t="s">
        <v>43</v>
      </c>
      <c r="C42" s="44">
        <v>55</v>
      </c>
      <c r="D42" s="23" t="s">
        <v>72</v>
      </c>
      <c r="E42" s="20"/>
      <c r="F42" s="24" t="s">
        <v>99</v>
      </c>
      <c r="G42" s="12" t="s">
        <v>48</v>
      </c>
      <c r="H42" s="12">
        <v>1950</v>
      </c>
      <c r="I42" s="32">
        <v>5636.900000001135</v>
      </c>
      <c r="J42" s="4">
        <f>ROUND(I42/4,2)</f>
        <v>1409.23</v>
      </c>
      <c r="K42" s="33">
        <f>5*2</f>
        <v>10</v>
      </c>
      <c r="L42" s="32">
        <v>3970.799999999867</v>
      </c>
      <c r="M42" s="17">
        <f t="shared" si="2"/>
        <v>661.7999999999778</v>
      </c>
      <c r="N42" s="14">
        <v>15</v>
      </c>
      <c r="O42" s="18">
        <v>422.60000000045466</v>
      </c>
      <c r="P42" s="19">
        <f>O42/5</f>
        <v>84.52000000009093</v>
      </c>
      <c r="Q42" s="33">
        <v>16</v>
      </c>
      <c r="R42" s="18">
        <v>17026</v>
      </c>
      <c r="S42" s="13">
        <f t="shared" si="3"/>
        <v>4256.5</v>
      </c>
      <c r="T42" s="33">
        <v>12</v>
      </c>
      <c r="U42" s="19">
        <v>1157</v>
      </c>
      <c r="V42" s="19">
        <f>U42/8</f>
        <v>144.625</v>
      </c>
      <c r="W42" s="33">
        <v>40</v>
      </c>
      <c r="X42" s="19">
        <v>314</v>
      </c>
      <c r="Y42" s="67">
        <f>X42/5</f>
        <v>62.8</v>
      </c>
      <c r="Z42" s="33">
        <v>6</v>
      </c>
      <c r="AA42" s="26"/>
      <c r="AB42" s="57"/>
      <c r="AC42" s="57"/>
      <c r="AD42" s="92">
        <f>N42+Q42+T42+W42</f>
        <v>83</v>
      </c>
      <c r="AE42" s="64">
        <f>ROUND((L42+O42+R42+U42)/23,2)</f>
        <v>981.58</v>
      </c>
    </row>
    <row r="43" spans="1:31" ht="25.5" customHeight="1">
      <c r="A43" s="63">
        <v>3</v>
      </c>
      <c r="B43" s="29" t="s">
        <v>43</v>
      </c>
      <c r="C43" s="44">
        <v>54</v>
      </c>
      <c r="D43" s="23" t="s">
        <v>70</v>
      </c>
      <c r="E43" s="20"/>
      <c r="F43" s="21" t="s">
        <v>101</v>
      </c>
      <c r="G43" s="12" t="s">
        <v>102</v>
      </c>
      <c r="H43" s="12">
        <v>1961</v>
      </c>
      <c r="I43" s="18">
        <v>310.40000000006887</v>
      </c>
      <c r="J43" s="4">
        <f>ROUND(I43/4,2)</f>
        <v>77.6</v>
      </c>
      <c r="K43" s="14">
        <f>10*2</f>
        <v>20</v>
      </c>
      <c r="L43" s="91">
        <v>1635.800000000441</v>
      </c>
      <c r="M43" s="17">
        <f t="shared" si="2"/>
        <v>272.6333333334068</v>
      </c>
      <c r="N43" s="14">
        <v>18</v>
      </c>
      <c r="O43" s="32">
        <v>596.999999998553</v>
      </c>
      <c r="P43" s="19">
        <f>O43/5</f>
        <v>119.3999999997106</v>
      </c>
      <c r="Q43" s="33">
        <v>10</v>
      </c>
      <c r="R43" s="32">
        <v>797</v>
      </c>
      <c r="S43" s="13">
        <f t="shared" si="3"/>
        <v>199.25</v>
      </c>
      <c r="T43" s="33">
        <v>20</v>
      </c>
      <c r="U43" s="19"/>
      <c r="V43" s="19"/>
      <c r="W43" s="26"/>
      <c r="X43" s="19">
        <v>168</v>
      </c>
      <c r="Y43" s="67">
        <f>X43/5</f>
        <v>33.6</v>
      </c>
      <c r="Z43" s="33">
        <v>10</v>
      </c>
      <c r="AA43" s="26"/>
      <c r="AB43" s="57"/>
      <c r="AC43" s="33"/>
      <c r="AD43" s="92">
        <f>K43+N43+Q43+T43</f>
        <v>68</v>
      </c>
      <c r="AE43" s="64">
        <f>ROUND((I43+L43+R43+X43)/19,2)</f>
        <v>153.22</v>
      </c>
    </row>
    <row r="44" spans="1:31" ht="25.5">
      <c r="A44" s="63">
        <v>4</v>
      </c>
      <c r="B44" s="29" t="s">
        <v>43</v>
      </c>
      <c r="C44" s="44">
        <v>60</v>
      </c>
      <c r="D44" s="29" t="s">
        <v>107</v>
      </c>
      <c r="E44" s="34"/>
      <c r="F44" s="21" t="s">
        <v>16</v>
      </c>
      <c r="G44" s="31" t="s">
        <v>108</v>
      </c>
      <c r="H44" s="31">
        <v>1949</v>
      </c>
      <c r="I44" s="22"/>
      <c r="J44" s="66"/>
      <c r="K44" s="59"/>
      <c r="L44" s="58">
        <v>1273.2000000001194</v>
      </c>
      <c r="M44" s="17">
        <f t="shared" si="2"/>
        <v>212.2000000000199</v>
      </c>
      <c r="N44" s="14">
        <v>24</v>
      </c>
      <c r="O44" s="26"/>
      <c r="P44" s="26"/>
      <c r="Q44" s="26"/>
      <c r="R44" s="19">
        <v>489</v>
      </c>
      <c r="S44" s="13">
        <f t="shared" si="3"/>
        <v>122.25</v>
      </c>
      <c r="T44" s="33">
        <v>32</v>
      </c>
      <c r="U44" s="26"/>
      <c r="V44" s="26"/>
      <c r="W44" s="26"/>
      <c r="X44" s="19">
        <v>537</v>
      </c>
      <c r="Y44" s="67">
        <f>X44/5</f>
        <v>107.4</v>
      </c>
      <c r="Z44" s="33">
        <v>5</v>
      </c>
      <c r="AA44" s="26"/>
      <c r="AB44" s="26"/>
      <c r="AC44" s="26"/>
      <c r="AD44" s="92">
        <f>K44+N44+Q44+T44+Z44</f>
        <v>61</v>
      </c>
      <c r="AE44" s="64">
        <f>ROUND((L44+R44+X44)/15,2)</f>
        <v>153.28</v>
      </c>
    </row>
    <row r="45" spans="1:31" ht="25.5">
      <c r="A45" s="63">
        <v>5</v>
      </c>
      <c r="B45" s="29" t="s">
        <v>43</v>
      </c>
      <c r="C45" s="44">
        <v>59</v>
      </c>
      <c r="D45" s="29" t="s">
        <v>103</v>
      </c>
      <c r="E45" s="30"/>
      <c r="F45" s="21" t="s">
        <v>25</v>
      </c>
      <c r="G45" s="31" t="s">
        <v>104</v>
      </c>
      <c r="H45" s="31">
        <v>1962</v>
      </c>
      <c r="I45" s="22"/>
      <c r="J45" s="66"/>
      <c r="K45" s="59"/>
      <c r="L45" s="58">
        <v>15242.399999998976</v>
      </c>
      <c r="M45" s="17">
        <f t="shared" si="2"/>
        <v>2540.399999999829</v>
      </c>
      <c r="N45" s="14">
        <v>6</v>
      </c>
      <c r="O45" s="18">
        <v>422.0999999996139</v>
      </c>
      <c r="P45" s="19">
        <f>O45/5</f>
        <v>84.41999999992278</v>
      </c>
      <c r="Q45" s="33">
        <v>20</v>
      </c>
      <c r="R45" s="18">
        <v>671</v>
      </c>
      <c r="S45" s="13">
        <f t="shared" si="3"/>
        <v>167.75</v>
      </c>
      <c r="T45" s="33">
        <v>24</v>
      </c>
      <c r="U45" s="26"/>
      <c r="V45" s="26"/>
      <c r="W45" s="18" t="s">
        <v>110</v>
      </c>
      <c r="X45" s="19"/>
      <c r="Y45" s="19"/>
      <c r="Z45" s="26"/>
      <c r="AA45" s="26"/>
      <c r="AB45" s="26"/>
      <c r="AC45" s="26"/>
      <c r="AD45" s="92">
        <f>K45+N45+Q45+T45</f>
        <v>50</v>
      </c>
      <c r="AE45" s="64">
        <f>ROUND((I45+L45+O45+R45)/15,2)</f>
        <v>1089.03</v>
      </c>
    </row>
    <row r="46" spans="1:31" ht="25.5">
      <c r="A46" s="63">
        <v>6</v>
      </c>
      <c r="B46" s="29" t="s">
        <v>43</v>
      </c>
      <c r="C46" s="44">
        <v>52</v>
      </c>
      <c r="D46" s="23" t="s">
        <v>44</v>
      </c>
      <c r="E46" s="19"/>
      <c r="F46" s="21" t="s">
        <v>25</v>
      </c>
      <c r="G46" s="12" t="s">
        <v>45</v>
      </c>
      <c r="H46" s="12">
        <v>1956</v>
      </c>
      <c r="I46" s="18">
        <v>402.29999999960256</v>
      </c>
      <c r="J46" s="13">
        <f>ROUND(I46/4,2)</f>
        <v>100.57</v>
      </c>
      <c r="K46" s="33">
        <f>8*2</f>
        <v>16</v>
      </c>
      <c r="L46" s="32">
        <v>13640.700000001076</v>
      </c>
      <c r="M46" s="17">
        <f t="shared" si="2"/>
        <v>2273.4500000001794</v>
      </c>
      <c r="N46" s="14">
        <v>9</v>
      </c>
      <c r="O46" s="26"/>
      <c r="P46" s="26"/>
      <c r="Q46" s="26"/>
      <c r="R46" s="19">
        <v>14735</v>
      </c>
      <c r="S46" s="13">
        <f t="shared" si="3"/>
        <v>3683.75</v>
      </c>
      <c r="T46" s="33">
        <v>16</v>
      </c>
      <c r="U46" s="19"/>
      <c r="V46" s="19"/>
      <c r="W46" s="18" t="s">
        <v>110</v>
      </c>
      <c r="X46" s="19"/>
      <c r="Y46" s="19"/>
      <c r="Z46" s="26"/>
      <c r="AA46" s="26"/>
      <c r="AB46" s="57"/>
      <c r="AC46" s="57"/>
      <c r="AD46" s="92">
        <f>K46+N46+Q46+T46</f>
        <v>41</v>
      </c>
      <c r="AE46" s="64">
        <f>ROUND((I46+L46+O46+S46)/14,2)</f>
        <v>1266.2</v>
      </c>
    </row>
    <row r="47" spans="1:31" ht="25.5">
      <c r="A47" s="63">
        <v>7</v>
      </c>
      <c r="B47" s="29" t="s">
        <v>43</v>
      </c>
      <c r="C47" s="44">
        <v>57</v>
      </c>
      <c r="D47" s="29" t="s">
        <v>105</v>
      </c>
      <c r="E47" s="34"/>
      <c r="F47" s="21" t="s">
        <v>16</v>
      </c>
      <c r="G47" s="31" t="s">
        <v>106</v>
      </c>
      <c r="H47" s="31">
        <v>1953</v>
      </c>
      <c r="I47" s="18"/>
      <c r="J47" s="58"/>
      <c r="K47" s="59"/>
      <c r="L47" s="91">
        <v>9518.199999999997</v>
      </c>
      <c r="M47" s="9">
        <f t="shared" si="2"/>
        <v>1586.366666666666</v>
      </c>
      <c r="N47" s="5">
        <f>6*2</f>
        <v>12</v>
      </c>
      <c r="O47" s="26"/>
      <c r="P47" s="26"/>
      <c r="Q47" s="26"/>
      <c r="R47" s="19"/>
      <c r="S47" s="26"/>
      <c r="T47" s="26"/>
      <c r="U47" s="26"/>
      <c r="V47" s="26"/>
      <c r="W47" s="26"/>
      <c r="X47" s="19"/>
      <c r="Y47" s="19"/>
      <c r="Z47" s="26"/>
      <c r="AA47" s="26"/>
      <c r="AB47" s="26"/>
      <c r="AC47" s="26"/>
      <c r="AD47" s="62">
        <f>K47+N47+Q47</f>
        <v>12</v>
      </c>
      <c r="AE47" s="64">
        <f>M47</f>
        <v>1586.366666666666</v>
      </c>
    </row>
    <row r="48" spans="1:31" ht="25.5">
      <c r="A48" s="28"/>
      <c r="B48" s="29" t="s">
        <v>43</v>
      </c>
      <c r="C48" s="44">
        <v>53</v>
      </c>
      <c r="D48" s="23" t="s">
        <v>46</v>
      </c>
      <c r="E48" s="19"/>
      <c r="F48" s="21" t="s">
        <v>25</v>
      </c>
      <c r="G48" s="12" t="s">
        <v>47</v>
      </c>
      <c r="H48" s="12">
        <v>1960</v>
      </c>
      <c r="I48" s="18"/>
      <c r="J48" s="13"/>
      <c r="K48" s="26"/>
      <c r="L48" s="58"/>
      <c r="M48" s="9"/>
      <c r="N48" s="15"/>
      <c r="O48" s="26"/>
      <c r="P48" s="26"/>
      <c r="Q48" s="26"/>
      <c r="R48" s="26"/>
      <c r="S48" s="26"/>
      <c r="T48" s="26"/>
      <c r="U48" s="19"/>
      <c r="V48" s="19"/>
      <c r="W48" s="26"/>
      <c r="X48" s="14"/>
      <c r="Y48" s="19"/>
      <c r="Z48" s="26"/>
      <c r="AA48" s="26"/>
      <c r="AB48" s="57"/>
      <c r="AC48" s="57"/>
      <c r="AD48" s="62"/>
      <c r="AE48" s="64"/>
    </row>
  </sheetData>
  <sheetProtection password="CC37" sheet="1" objects="1" scenarios="1" selectLockedCells="1" selectUnlockedCells="1"/>
  <mergeCells count="140">
    <mergeCell ref="A2:H3"/>
    <mergeCell ref="A33:H34"/>
    <mergeCell ref="R7:T7"/>
    <mergeCell ref="R33:T33"/>
    <mergeCell ref="R2:T2"/>
    <mergeCell ref="R3:T3"/>
    <mergeCell ref="R4:T4"/>
    <mergeCell ref="K8:K9"/>
    <mergeCell ref="E8:E9"/>
    <mergeCell ref="C8:C9"/>
    <mergeCell ref="AB8:AB9"/>
    <mergeCell ref="V8:V9"/>
    <mergeCell ref="T8:T9"/>
    <mergeCell ref="AD5:AD9"/>
    <mergeCell ref="R5:T6"/>
    <mergeCell ref="R8:R9"/>
    <mergeCell ref="S8:S9"/>
    <mergeCell ref="X36:Z37"/>
    <mergeCell ref="X5:Z6"/>
    <mergeCell ref="U34:W34"/>
    <mergeCell ref="U8:U9"/>
    <mergeCell ref="X33:Z33"/>
    <mergeCell ref="X2:Z2"/>
    <mergeCell ref="U2:W2"/>
    <mergeCell ref="U33:W33"/>
    <mergeCell ref="Z8:Z9"/>
    <mergeCell ref="Y8:Y9"/>
    <mergeCell ref="X8:X9"/>
    <mergeCell ref="W8:W9"/>
    <mergeCell ref="U4:W4"/>
    <mergeCell ref="U3:W3"/>
    <mergeCell ref="A32:AE32"/>
    <mergeCell ref="R39:R40"/>
    <mergeCell ref="S39:S40"/>
    <mergeCell ref="T39:T40"/>
    <mergeCell ref="X34:Z34"/>
    <mergeCell ref="U35:W35"/>
    <mergeCell ref="U36:W37"/>
    <mergeCell ref="R34:T34"/>
    <mergeCell ref="R35:T35"/>
    <mergeCell ref="R36:T37"/>
    <mergeCell ref="X35:Z35"/>
    <mergeCell ref="G39:G40"/>
    <mergeCell ref="H39:H40"/>
    <mergeCell ref="I35:K35"/>
    <mergeCell ref="I38:K38"/>
    <mergeCell ref="I39:I40"/>
    <mergeCell ref="J39:J40"/>
    <mergeCell ref="K39:K40"/>
    <mergeCell ref="A39:A40"/>
    <mergeCell ref="B39:B40"/>
    <mergeCell ref="C39:C40"/>
    <mergeCell ref="D39:D40"/>
    <mergeCell ref="E39:E40"/>
    <mergeCell ref="F39:F40"/>
    <mergeCell ref="AD36:AD40"/>
    <mergeCell ref="AA36:AC37"/>
    <mergeCell ref="M39:M40"/>
    <mergeCell ref="N39:N40"/>
    <mergeCell ref="A35:H37"/>
    <mergeCell ref="I36:K37"/>
    <mergeCell ref="L36:N37"/>
    <mergeCell ref="L35:N35"/>
    <mergeCell ref="AD33:AE35"/>
    <mergeCell ref="AE36:AE40"/>
    <mergeCell ref="AA38:AC38"/>
    <mergeCell ref="AC39:AC40"/>
    <mergeCell ref="AA39:AA40"/>
    <mergeCell ref="AB39:AB40"/>
    <mergeCell ref="AA35:AC35"/>
    <mergeCell ref="AA34:AC34"/>
    <mergeCell ref="AA33:AC33"/>
    <mergeCell ref="L38:N38"/>
    <mergeCell ref="I8:I9"/>
    <mergeCell ref="F8:F9"/>
    <mergeCell ref="G8:G9"/>
    <mergeCell ref="J8:J9"/>
    <mergeCell ref="L33:N33"/>
    <mergeCell ref="I34:K34"/>
    <mergeCell ref="L34:N34"/>
    <mergeCell ref="I33:K33"/>
    <mergeCell ref="AE5:AE9"/>
    <mergeCell ref="AC8:AC9"/>
    <mergeCell ref="AA8:AA9"/>
    <mergeCell ref="D8:D9"/>
    <mergeCell ref="M8:M9"/>
    <mergeCell ref="H8:H9"/>
    <mergeCell ref="N8:N9"/>
    <mergeCell ref="U5:W6"/>
    <mergeCell ref="L8:L9"/>
    <mergeCell ref="X7:Z7"/>
    <mergeCell ref="A1:AE1"/>
    <mergeCell ref="AD2:AE4"/>
    <mergeCell ref="A8:A9"/>
    <mergeCell ref="B8:B9"/>
    <mergeCell ref="AA5:AC6"/>
    <mergeCell ref="AA7:AC7"/>
    <mergeCell ref="U7:W7"/>
    <mergeCell ref="O2:Q2"/>
    <mergeCell ref="AA2:AC2"/>
    <mergeCell ref="O7:Q7"/>
    <mergeCell ref="O8:O9"/>
    <mergeCell ref="P8:P9"/>
    <mergeCell ref="Q8:Q9"/>
    <mergeCell ref="O35:Q35"/>
    <mergeCell ref="O34:Q34"/>
    <mergeCell ref="O33:Q33"/>
    <mergeCell ref="AA3:AC3"/>
    <mergeCell ref="X4:Z4"/>
    <mergeCell ref="AA4:AC4"/>
    <mergeCell ref="X3:Z3"/>
    <mergeCell ref="I2:K2"/>
    <mergeCell ref="L2:N2"/>
    <mergeCell ref="O5:Q6"/>
    <mergeCell ref="O3:Q3"/>
    <mergeCell ref="O4:Q4"/>
    <mergeCell ref="I3:K3"/>
    <mergeCell ref="L3:N3"/>
    <mergeCell ref="A4:H6"/>
    <mergeCell ref="I7:K7"/>
    <mergeCell ref="L7:N7"/>
    <mergeCell ref="I5:K6"/>
    <mergeCell ref="L5:N6"/>
    <mergeCell ref="I4:K4"/>
    <mergeCell ref="L4:N4"/>
    <mergeCell ref="O36:Q37"/>
    <mergeCell ref="P39:P40"/>
    <mergeCell ref="O39:O40"/>
    <mergeCell ref="O38:Q38"/>
    <mergeCell ref="Q39:Q40"/>
    <mergeCell ref="L39:L40"/>
    <mergeCell ref="X38:Z38"/>
    <mergeCell ref="Y39:Y40"/>
    <mergeCell ref="Z39:Z40"/>
    <mergeCell ref="X39:X40"/>
    <mergeCell ref="R38:T38"/>
    <mergeCell ref="W39:W40"/>
    <mergeCell ref="V39:V40"/>
    <mergeCell ref="U39:U40"/>
    <mergeCell ref="U38:W38"/>
  </mergeCells>
  <printOptions/>
  <pageMargins left="0.15748031496062992" right="0.1968503937007874" top="0.1968503937007874" bottom="0.1968503937007874" header="0.11811023622047245" footer="0.31496062992125984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</cp:lastModifiedBy>
  <cp:lastPrinted>2009-11-06T08:48:28Z</cp:lastPrinted>
  <dcterms:created xsi:type="dcterms:W3CDTF">2009-02-24T08:02:13Z</dcterms:created>
  <dcterms:modified xsi:type="dcterms:W3CDTF">2010-01-20T17:48:31Z</dcterms:modified>
  <cp:category/>
  <cp:version/>
  <cp:contentType/>
  <cp:contentStatus/>
</cp:coreProperties>
</file>